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326" yWindow="-215" windowWidth="11552" windowHeight="9575" tabRatio="740"/>
  </bookViews>
  <sheets>
    <sheet name="2、3月菜單(貝佳)" sheetId="10" r:id="rId1"/>
    <sheet name="2、3月明細(午餐)" sheetId="11" r:id="rId2"/>
  </sheets>
  <externalReferences>
    <externalReference r:id="rId3"/>
  </externalReferences>
  <definedNames>
    <definedName name="_xlnm.Print_Area" localSheetId="1">'2、3月明細(午餐)'!$A$1:$W$282</definedName>
    <definedName name="_xlnm.Print_Area" localSheetId="0">'2、3月菜單(貝佳)'!$A$1:$K$56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02" i="11"/>
  <c r="Y200"/>
  <c r="Y61"/>
  <c r="Y60"/>
  <c r="Y59"/>
  <c r="Y30" l="1"/>
  <c r="Y29"/>
  <c r="Y38" l="1"/>
  <c r="P38"/>
  <c r="Y37"/>
  <c r="AB38" s="1"/>
  <c r="P37"/>
  <c r="S38" s="1"/>
  <c r="Y36"/>
  <c r="AB39" s="1"/>
  <c r="P36"/>
  <c r="P30"/>
  <c r="AB30"/>
  <c r="P29"/>
  <c r="S30" s="1"/>
  <c r="Y28"/>
  <c r="P28"/>
  <c r="Y22"/>
  <c r="P22"/>
  <c r="Y21"/>
  <c r="AB22" s="1"/>
  <c r="P21"/>
  <c r="S22" s="1"/>
  <c r="Y20"/>
  <c r="AB23" s="1"/>
  <c r="P20"/>
  <c r="Y14"/>
  <c r="P14"/>
  <c r="Y13"/>
  <c r="AB14" s="1"/>
  <c r="P13"/>
  <c r="S14" s="1"/>
  <c r="Y12"/>
  <c r="P12"/>
  <c r="Y6"/>
  <c r="Y5"/>
  <c r="AB6" s="1"/>
  <c r="P5"/>
  <c r="Y4"/>
  <c r="Y10" s="1"/>
  <c r="P4"/>
  <c r="S5" s="1"/>
  <c r="P3"/>
  <c r="P9" s="1"/>
  <c r="A11"/>
  <c r="A19" s="1"/>
  <c r="A27" s="1"/>
  <c r="A35" s="1"/>
  <c r="P34" l="1"/>
  <c r="P18"/>
  <c r="Y18"/>
  <c r="S39"/>
  <c r="S23"/>
  <c r="N24" s="1"/>
  <c r="Y34"/>
  <c r="W34" s="1"/>
  <c r="H10" i="10" s="1"/>
  <c r="N6" i="11"/>
  <c r="AB12"/>
  <c r="AD14" s="1"/>
  <c r="W18"/>
  <c r="D10" i="10" s="1"/>
  <c r="W14" i="11"/>
  <c r="W24"/>
  <c r="W22"/>
  <c r="W30"/>
  <c r="W40"/>
  <c r="W38"/>
  <c r="N10"/>
  <c r="S3"/>
  <c r="U5" s="1"/>
  <c r="W10"/>
  <c r="AB4"/>
  <c r="W6"/>
  <c r="AD6"/>
  <c r="N18"/>
  <c r="S12"/>
  <c r="U14" s="1"/>
  <c r="N14"/>
  <c r="N22"/>
  <c r="N34"/>
  <c r="S28"/>
  <c r="U30" s="1"/>
  <c r="N30"/>
  <c r="N40"/>
  <c r="N38"/>
  <c r="AB5"/>
  <c r="AB7"/>
  <c r="AB13"/>
  <c r="S15"/>
  <c r="AB15"/>
  <c r="S21"/>
  <c r="P26"/>
  <c r="Y26"/>
  <c r="AB29"/>
  <c r="S31"/>
  <c r="AB31"/>
  <c r="S37"/>
  <c r="P42"/>
  <c r="Y42"/>
  <c r="S4"/>
  <c r="S6"/>
  <c r="S13"/>
  <c r="AB21"/>
  <c r="S29"/>
  <c r="AB37"/>
  <c r="AB28" l="1"/>
  <c r="AD30" s="1"/>
  <c r="U29"/>
  <c r="U32" s="1"/>
  <c r="N28"/>
  <c r="U13"/>
  <c r="U16" s="1"/>
  <c r="N12"/>
  <c r="N4"/>
  <c r="U4"/>
  <c r="N42"/>
  <c r="S36"/>
  <c r="U37" s="1"/>
  <c r="U40" s="1"/>
  <c r="W32"/>
  <c r="W28"/>
  <c r="N26"/>
  <c r="S20"/>
  <c r="AD15"/>
  <c r="W16"/>
  <c r="AD13"/>
  <c r="W12"/>
  <c r="AD5"/>
  <c r="W4"/>
  <c r="W36"/>
  <c r="AD21"/>
  <c r="W20"/>
  <c r="N8"/>
  <c r="U6"/>
  <c r="W42"/>
  <c r="AB36"/>
  <c r="AD37" s="1"/>
  <c r="AD40" s="1"/>
  <c r="N36"/>
  <c r="U31"/>
  <c r="N32"/>
  <c r="W26"/>
  <c r="F10" i="10" s="1"/>
  <c r="AB20" i="11"/>
  <c r="U21"/>
  <c r="U24" s="1"/>
  <c r="N20"/>
  <c r="U15"/>
  <c r="N16"/>
  <c r="W8"/>
  <c r="AD7"/>
  <c r="AD31" l="1"/>
  <c r="AD29"/>
  <c r="AD32" s="1"/>
  <c r="AD16"/>
  <c r="AD8"/>
  <c r="AD23"/>
  <c r="AD22"/>
  <c r="AD39"/>
  <c r="AD38"/>
  <c r="U23"/>
  <c r="U22"/>
  <c r="U39"/>
  <c r="U38"/>
  <c r="U7"/>
  <c r="AD24" l="1"/>
  <c r="B10" i="10" l="1"/>
  <c r="D2"/>
  <c r="F2" s="1"/>
  <c r="H2" s="1"/>
  <c r="J2" s="1"/>
  <c r="Y248" i="11" l="1"/>
  <c r="Y240"/>
  <c r="Y225"/>
  <c r="Y217"/>
  <c r="Y216"/>
  <c r="Y210"/>
  <c r="Y201"/>
  <c r="Y194"/>
  <c r="Y193"/>
  <c r="Y192"/>
  <c r="Y178"/>
  <c r="Y177"/>
  <c r="Y171"/>
  <c r="Y170"/>
  <c r="Y169"/>
  <c r="Y163"/>
  <c r="Y162"/>
  <c r="Y161"/>
  <c r="Y154"/>
  <c r="Y153"/>
  <c r="Y146"/>
  <c r="Y145"/>
  <c r="Y132"/>
  <c r="Y131"/>
  <c r="Y130"/>
  <c r="Y116"/>
  <c r="Y115"/>
  <c r="Y114"/>
  <c r="Y108"/>
  <c r="Y107"/>
  <c r="Y106"/>
  <c r="Y100"/>
  <c r="Y99"/>
  <c r="Y98"/>
  <c r="Y85"/>
  <c r="Y84"/>
  <c r="Y83"/>
  <c r="Y77"/>
  <c r="Y76"/>
  <c r="Y75"/>
  <c r="Y69"/>
  <c r="Y68"/>
  <c r="Y53"/>
  <c r="Y52"/>
  <c r="Y51"/>
  <c r="Y209"/>
  <c r="Y123"/>
  <c r="Y247"/>
  <c r="Y239"/>
  <c r="Y249" l="1"/>
  <c r="Y241"/>
  <c r="Y226"/>
  <c r="Y218"/>
  <c r="Y208"/>
  <c r="Y179"/>
  <c r="Y155"/>
  <c r="Y147"/>
  <c r="Y124"/>
  <c r="Y122"/>
  <c r="Y67"/>
  <c r="Y224" l="1"/>
  <c r="Y212"/>
  <c r="Y165" l="1"/>
  <c r="Y273" l="1"/>
  <c r="P273"/>
  <c r="Y272"/>
  <c r="AB273" s="1"/>
  <c r="P272"/>
  <c r="S273" s="1"/>
  <c r="Y271"/>
  <c r="P271"/>
  <c r="Y265"/>
  <c r="P265"/>
  <c r="Y264"/>
  <c r="AB265" s="1"/>
  <c r="P264"/>
  <c r="S265" s="1"/>
  <c r="Y263"/>
  <c r="P263"/>
  <c r="Y257"/>
  <c r="P257"/>
  <c r="Y256"/>
  <c r="AB257" s="1"/>
  <c r="P256"/>
  <c r="S257" s="1"/>
  <c r="Y255"/>
  <c r="P255"/>
  <c r="P249"/>
  <c r="AB249"/>
  <c r="P248"/>
  <c r="S249" s="1"/>
  <c r="Y253"/>
  <c r="P247"/>
  <c r="AB241"/>
  <c r="P240"/>
  <c r="Y245"/>
  <c r="P239"/>
  <c r="S240" s="1"/>
  <c r="P238"/>
  <c r="P226"/>
  <c r="AB226"/>
  <c r="P225"/>
  <c r="S226" s="1"/>
  <c r="Y230"/>
  <c r="P224"/>
  <c r="P218"/>
  <c r="AB218"/>
  <c r="P217"/>
  <c r="S218" s="1"/>
  <c r="AB219"/>
  <c r="P216"/>
  <c r="P210"/>
  <c r="AB210"/>
  <c r="P209"/>
  <c r="S210" s="1"/>
  <c r="Y214"/>
  <c r="P208"/>
  <c r="P202"/>
  <c r="AB202"/>
  <c r="P201"/>
  <c r="S202" s="1"/>
  <c r="AB203"/>
  <c r="P200"/>
  <c r="AB194"/>
  <c r="P193"/>
  <c r="Y198"/>
  <c r="P192"/>
  <c r="S193" s="1"/>
  <c r="P191"/>
  <c r="P179"/>
  <c r="AB179"/>
  <c r="P178"/>
  <c r="S179" s="1"/>
  <c r="AB180"/>
  <c r="P177"/>
  <c r="P171"/>
  <c r="AB171"/>
  <c r="P170"/>
  <c r="S171" s="1"/>
  <c r="Y175"/>
  <c r="P169"/>
  <c r="P163"/>
  <c r="AB163"/>
  <c r="P162"/>
  <c r="S163" s="1"/>
  <c r="AB164"/>
  <c r="P161"/>
  <c r="P155"/>
  <c r="AB155"/>
  <c r="P154"/>
  <c r="S155" s="1"/>
  <c r="Y159"/>
  <c r="P153"/>
  <c r="AB147"/>
  <c r="P146"/>
  <c r="Y151"/>
  <c r="P145"/>
  <c r="S146" s="1"/>
  <c r="P144"/>
  <c r="P132"/>
  <c r="AB132"/>
  <c r="P131"/>
  <c r="S132" s="1"/>
  <c r="Y136"/>
  <c r="P130"/>
  <c r="P124"/>
  <c r="AB124"/>
  <c r="P123"/>
  <c r="S124" s="1"/>
  <c r="AB125"/>
  <c r="P122"/>
  <c r="P116"/>
  <c r="AB116"/>
  <c r="P115"/>
  <c r="S116" s="1"/>
  <c r="Y120"/>
  <c r="P114"/>
  <c r="AB109"/>
  <c r="P108"/>
  <c r="AB108"/>
  <c r="P107"/>
  <c r="S108" s="1"/>
  <c r="P106"/>
  <c r="AB100"/>
  <c r="P99"/>
  <c r="Y104"/>
  <c r="P98"/>
  <c r="S99" s="1"/>
  <c r="P97"/>
  <c r="P85"/>
  <c r="AB85"/>
  <c r="P84"/>
  <c r="S85" s="1"/>
  <c r="Y89"/>
  <c r="P83"/>
  <c r="P77"/>
  <c r="AB77"/>
  <c r="P76"/>
  <c r="S77" s="1"/>
  <c r="AB78"/>
  <c r="P75"/>
  <c r="Y73"/>
  <c r="P69"/>
  <c r="AB69"/>
  <c r="P68"/>
  <c r="S69" s="1"/>
  <c r="P67"/>
  <c r="AB62"/>
  <c r="P61"/>
  <c r="AB61"/>
  <c r="P60"/>
  <c r="S61" s="1"/>
  <c r="P59"/>
  <c r="A58"/>
  <c r="A66" s="1"/>
  <c r="A74" s="1"/>
  <c r="A82" s="1"/>
  <c r="A97" s="1"/>
  <c r="A105" s="1"/>
  <c r="A113" s="1"/>
  <c r="A121" s="1"/>
  <c r="A129" s="1"/>
  <c r="A144" s="1"/>
  <c r="A152" s="1"/>
  <c r="A160" s="1"/>
  <c r="A168" s="1"/>
  <c r="A176" s="1"/>
  <c r="A191" s="1"/>
  <c r="A199" s="1"/>
  <c r="A207" s="1"/>
  <c r="A215" s="1"/>
  <c r="A223" s="1"/>
  <c r="A238" s="1"/>
  <c r="A246" s="1"/>
  <c r="A254" s="1"/>
  <c r="A262" s="1"/>
  <c r="A270" s="1"/>
  <c r="P56"/>
  <c r="N57" s="1"/>
  <c r="S53"/>
  <c r="N55" s="1"/>
  <c r="AB53"/>
  <c r="S52"/>
  <c r="N53" s="1"/>
  <c r="S51"/>
  <c r="P159" l="1"/>
  <c r="N159" s="1"/>
  <c r="AB274"/>
  <c r="W275" s="1"/>
  <c r="S125"/>
  <c r="N126" s="1"/>
  <c r="S164"/>
  <c r="N165" s="1"/>
  <c r="S203"/>
  <c r="N204" s="1"/>
  <c r="P269"/>
  <c r="N269" s="1"/>
  <c r="P120"/>
  <c r="N120" s="1"/>
  <c r="S50"/>
  <c r="U51" s="1"/>
  <c r="U54" s="1"/>
  <c r="S78"/>
  <c r="N79" s="1"/>
  <c r="AB258"/>
  <c r="W259" s="1"/>
  <c r="P103"/>
  <c r="S97" s="1"/>
  <c r="U99" s="1"/>
  <c r="P244"/>
  <c r="N245" s="1"/>
  <c r="P175"/>
  <c r="N175" s="1"/>
  <c r="P214"/>
  <c r="N214" s="1"/>
  <c r="P253"/>
  <c r="N253" s="1"/>
  <c r="Y269"/>
  <c r="AB263" s="1"/>
  <c r="AD265" s="1"/>
  <c r="S62"/>
  <c r="N63" s="1"/>
  <c r="Y57"/>
  <c r="AB51" s="1"/>
  <c r="AD53" s="1"/>
  <c r="P136"/>
  <c r="N136" s="1"/>
  <c r="P73"/>
  <c r="N73" s="1"/>
  <c r="P89"/>
  <c r="N89" s="1"/>
  <c r="P150"/>
  <c r="S144" s="1"/>
  <c r="U146" s="1"/>
  <c r="S180"/>
  <c r="S219"/>
  <c r="N220" s="1"/>
  <c r="S258"/>
  <c r="N259" s="1"/>
  <c r="S274"/>
  <c r="N275" s="1"/>
  <c r="P197"/>
  <c r="S191" s="1"/>
  <c r="U193" s="1"/>
  <c r="P230"/>
  <c r="N230" s="1"/>
  <c r="W53"/>
  <c r="W63"/>
  <c r="W61"/>
  <c r="AB67"/>
  <c r="AD69" s="1"/>
  <c r="W73"/>
  <c r="F19" i="10" s="1"/>
  <c r="W69" i="11"/>
  <c r="W79"/>
  <c r="W77"/>
  <c r="AB83"/>
  <c r="AD85" s="1"/>
  <c r="W89"/>
  <c r="J19" i="10" s="1"/>
  <c r="W85" i="11"/>
  <c r="N100"/>
  <c r="N61"/>
  <c r="N69"/>
  <c r="N77"/>
  <c r="N85"/>
  <c r="W104"/>
  <c r="B28" i="10" s="1"/>
  <c r="AB98" i="11"/>
  <c r="AD100" s="1"/>
  <c r="W100"/>
  <c r="W110"/>
  <c r="W108"/>
  <c r="AB114"/>
  <c r="AD116" s="1"/>
  <c r="W120"/>
  <c r="F28" i="10" s="1"/>
  <c r="W116" i="11"/>
  <c r="W126"/>
  <c r="W124"/>
  <c r="AB130"/>
  <c r="AD132" s="1"/>
  <c r="W136"/>
  <c r="J28" i="10" s="1"/>
  <c r="W132" i="11"/>
  <c r="N147"/>
  <c r="AB153"/>
  <c r="AD155" s="1"/>
  <c r="W159"/>
  <c r="D37" i="10" s="1"/>
  <c r="W155" i="11"/>
  <c r="W165"/>
  <c r="W163"/>
  <c r="AB169"/>
  <c r="AD171" s="1"/>
  <c r="W175"/>
  <c r="H37" i="10" s="1"/>
  <c r="W171" i="11"/>
  <c r="W181"/>
  <c r="W179"/>
  <c r="N194"/>
  <c r="W204"/>
  <c r="W202"/>
  <c r="AB208"/>
  <c r="AD210" s="1"/>
  <c r="W214"/>
  <c r="F46" i="10" s="1"/>
  <c r="W210" i="11"/>
  <c r="W220"/>
  <c r="W218"/>
  <c r="AB224"/>
  <c r="AD226" s="1"/>
  <c r="W230"/>
  <c r="J46" i="10" s="1"/>
  <c r="W226" i="11"/>
  <c r="N241"/>
  <c r="AB247"/>
  <c r="AD249" s="1"/>
  <c r="W253"/>
  <c r="D55" i="10" s="1"/>
  <c r="W249" i="11"/>
  <c r="W257"/>
  <c r="W265"/>
  <c r="W273"/>
  <c r="N51"/>
  <c r="S60"/>
  <c r="P65"/>
  <c r="Y65"/>
  <c r="AB68"/>
  <c r="S70"/>
  <c r="AB70"/>
  <c r="S76"/>
  <c r="P81"/>
  <c r="Y81"/>
  <c r="AB84"/>
  <c r="S86"/>
  <c r="AB86"/>
  <c r="AB99"/>
  <c r="AB101"/>
  <c r="S109"/>
  <c r="P112"/>
  <c r="S107"/>
  <c r="N108"/>
  <c r="N116"/>
  <c r="N124"/>
  <c r="N132"/>
  <c r="W151"/>
  <c r="B37" i="10" s="1"/>
  <c r="AB145" i="11"/>
  <c r="AD147" s="1"/>
  <c r="W147"/>
  <c r="N155"/>
  <c r="N163"/>
  <c r="N171"/>
  <c r="N181"/>
  <c r="N179"/>
  <c r="W198"/>
  <c r="B46" i="10" s="1"/>
  <c r="AB192" i="11"/>
  <c r="AD194" s="1"/>
  <c r="W194"/>
  <c r="N202"/>
  <c r="N210"/>
  <c r="N218"/>
  <c r="N226"/>
  <c r="W245"/>
  <c r="B55" i="10" s="1"/>
  <c r="AB239" i="11"/>
  <c r="AD241" s="1"/>
  <c r="W241"/>
  <c r="N249"/>
  <c r="N257"/>
  <c r="N265"/>
  <c r="N273"/>
  <c r="AB52"/>
  <c r="AB54"/>
  <c r="AB60"/>
  <c r="S68"/>
  <c r="AB76"/>
  <c r="S84"/>
  <c r="S98"/>
  <c r="S100"/>
  <c r="Y112"/>
  <c r="AB115"/>
  <c r="S117"/>
  <c r="AB117"/>
  <c r="S123"/>
  <c r="P128"/>
  <c r="Y128"/>
  <c r="AB131"/>
  <c r="S133"/>
  <c r="AB133"/>
  <c r="AB146"/>
  <c r="AB148"/>
  <c r="AB154"/>
  <c r="S156"/>
  <c r="AB156"/>
  <c r="S162"/>
  <c r="P167"/>
  <c r="Y167"/>
  <c r="AB170"/>
  <c r="S172"/>
  <c r="AB172"/>
  <c r="S178"/>
  <c r="P183"/>
  <c r="Y183"/>
  <c r="S192"/>
  <c r="S194"/>
  <c r="S201"/>
  <c r="P206"/>
  <c r="Y206"/>
  <c r="AB209"/>
  <c r="S211"/>
  <c r="AB211"/>
  <c r="S217"/>
  <c r="P222"/>
  <c r="Y222"/>
  <c r="AB225"/>
  <c r="S227"/>
  <c r="AB227"/>
  <c r="AB240"/>
  <c r="AB242"/>
  <c r="AB248"/>
  <c r="S250"/>
  <c r="AB250"/>
  <c r="S256"/>
  <c r="P261"/>
  <c r="Y261"/>
  <c r="AB264"/>
  <c r="S266"/>
  <c r="AB266"/>
  <c r="S272"/>
  <c r="P277"/>
  <c r="Y277"/>
  <c r="AB107"/>
  <c r="S115"/>
  <c r="AB123"/>
  <c r="S131"/>
  <c r="S145"/>
  <c r="S147"/>
  <c r="S154"/>
  <c r="AB162"/>
  <c r="S170"/>
  <c r="AB178"/>
  <c r="AB193"/>
  <c r="AB195"/>
  <c r="AB201"/>
  <c r="S209"/>
  <c r="AB217"/>
  <c r="S225"/>
  <c r="S239"/>
  <c r="S241"/>
  <c r="S248"/>
  <c r="AB256"/>
  <c r="S264"/>
  <c r="AB272"/>
  <c r="S169" l="1"/>
  <c r="U171" s="1"/>
  <c r="S153"/>
  <c r="U155" s="1"/>
  <c r="N151"/>
  <c r="U52"/>
  <c r="S247"/>
  <c r="U249" s="1"/>
  <c r="S224"/>
  <c r="U226" s="1"/>
  <c r="S114"/>
  <c r="U116" s="1"/>
  <c r="N104"/>
  <c r="S263"/>
  <c r="U265" s="1"/>
  <c r="S208"/>
  <c r="U210" s="1"/>
  <c r="W57"/>
  <c r="B19" i="10" s="1"/>
  <c r="U53" i="11"/>
  <c r="S238"/>
  <c r="U240" s="1"/>
  <c r="N198"/>
  <c r="S130"/>
  <c r="U132" s="1"/>
  <c r="W269"/>
  <c r="S83"/>
  <c r="U85" s="1"/>
  <c r="S67"/>
  <c r="U69" s="1"/>
  <c r="W271"/>
  <c r="N243"/>
  <c r="U241"/>
  <c r="U209"/>
  <c r="U212" s="1"/>
  <c r="N208"/>
  <c r="W177"/>
  <c r="N149"/>
  <c r="U147"/>
  <c r="U115"/>
  <c r="U118" s="1"/>
  <c r="N114"/>
  <c r="N271"/>
  <c r="U264"/>
  <c r="U267" s="1"/>
  <c r="N263"/>
  <c r="N247"/>
  <c r="N239"/>
  <c r="W216"/>
  <c r="W200"/>
  <c r="AD193"/>
  <c r="W192"/>
  <c r="N169"/>
  <c r="N153"/>
  <c r="N145"/>
  <c r="U145"/>
  <c r="W122"/>
  <c r="W106"/>
  <c r="N277"/>
  <c r="S271"/>
  <c r="U272" s="1"/>
  <c r="U275" s="1"/>
  <c r="AD266"/>
  <c r="W267"/>
  <c r="AD264"/>
  <c r="W263"/>
  <c r="N261"/>
  <c r="S255"/>
  <c r="U256" s="1"/>
  <c r="U259" s="1"/>
  <c r="AD250"/>
  <c r="W251"/>
  <c r="AD248"/>
  <c r="W247"/>
  <c r="AD240"/>
  <c r="W239"/>
  <c r="N228"/>
  <c r="W222"/>
  <c r="H46" i="10" s="1"/>
  <c r="AB216" i="11"/>
  <c r="AD217" s="1"/>
  <c r="N216"/>
  <c r="N212"/>
  <c r="W206"/>
  <c r="D46" i="10" s="1"/>
  <c r="AB200" i="11"/>
  <c r="AD201" s="1"/>
  <c r="N200"/>
  <c r="U192"/>
  <c r="N192"/>
  <c r="N183"/>
  <c r="S177"/>
  <c r="U178" s="1"/>
  <c r="U181" s="1"/>
  <c r="AD172"/>
  <c r="W173"/>
  <c r="AD170"/>
  <c r="W169"/>
  <c r="N167"/>
  <c r="S161"/>
  <c r="U162" s="1"/>
  <c r="U165" s="1"/>
  <c r="AD156"/>
  <c r="W157"/>
  <c r="AD154"/>
  <c r="W153"/>
  <c r="AD146"/>
  <c r="W145"/>
  <c r="N134"/>
  <c r="W128"/>
  <c r="H28" i="10" s="1"/>
  <c r="AB122" i="11"/>
  <c r="AD123" s="1"/>
  <c r="N122"/>
  <c r="N118"/>
  <c r="W112"/>
  <c r="D28" i="10" s="1"/>
  <c r="AB106" i="11"/>
  <c r="AD107" s="1"/>
  <c r="N98"/>
  <c r="U98"/>
  <c r="W75"/>
  <c r="W59"/>
  <c r="N112"/>
  <c r="S106"/>
  <c r="U108" s="1"/>
  <c r="W102"/>
  <c r="AD101"/>
  <c r="AD86"/>
  <c r="W87"/>
  <c r="AD84"/>
  <c r="W83"/>
  <c r="N81"/>
  <c r="S75"/>
  <c r="U76" s="1"/>
  <c r="AD70"/>
  <c r="W71"/>
  <c r="AD68"/>
  <c r="W67"/>
  <c r="N65"/>
  <c r="S59"/>
  <c r="U60" s="1"/>
  <c r="W255"/>
  <c r="N224"/>
  <c r="W196"/>
  <c r="AD195"/>
  <c r="W161"/>
  <c r="N130"/>
  <c r="W277"/>
  <c r="AB271"/>
  <c r="AD272" s="1"/>
  <c r="U266"/>
  <c r="N267"/>
  <c r="W261"/>
  <c r="AB255"/>
  <c r="AD256" s="1"/>
  <c r="N255"/>
  <c r="N251"/>
  <c r="W243"/>
  <c r="AD242"/>
  <c r="AD227"/>
  <c r="W228"/>
  <c r="AD225"/>
  <c r="W224"/>
  <c r="N222"/>
  <c r="S216"/>
  <c r="U217" s="1"/>
  <c r="U220" s="1"/>
  <c r="AD211"/>
  <c r="W212"/>
  <c r="AD209"/>
  <c r="W208"/>
  <c r="N206"/>
  <c r="S200"/>
  <c r="U201" s="1"/>
  <c r="U204" s="1"/>
  <c r="N196"/>
  <c r="U194"/>
  <c r="W183"/>
  <c r="J37" i="10" s="1"/>
  <c r="AB177" i="11"/>
  <c r="AD178" s="1"/>
  <c r="N177"/>
  <c r="U172"/>
  <c r="N173"/>
  <c r="W167"/>
  <c r="F37" i="10" s="1"/>
  <c r="AB161" i="11"/>
  <c r="AD162" s="1"/>
  <c r="N161"/>
  <c r="U156"/>
  <c r="N157"/>
  <c r="W149"/>
  <c r="AD148"/>
  <c r="AD133"/>
  <c r="W134"/>
  <c r="AD131"/>
  <c r="W130"/>
  <c r="N128"/>
  <c r="S122"/>
  <c r="U123" s="1"/>
  <c r="AD117"/>
  <c r="W118"/>
  <c r="AD115"/>
  <c r="W114"/>
  <c r="N102"/>
  <c r="U100"/>
  <c r="N83"/>
  <c r="N67"/>
  <c r="W55"/>
  <c r="AD54"/>
  <c r="W51"/>
  <c r="AD52"/>
  <c r="N106"/>
  <c r="N110"/>
  <c r="AD99"/>
  <c r="W98"/>
  <c r="N87"/>
  <c r="W81"/>
  <c r="H19" i="10" s="1"/>
  <c r="AB75" i="11"/>
  <c r="AD76" s="1"/>
  <c r="N75"/>
  <c r="N71"/>
  <c r="W65"/>
  <c r="D19" i="10" s="1"/>
  <c r="AB59" i="11"/>
  <c r="AD60" s="1"/>
  <c r="N59"/>
  <c r="AD102" l="1"/>
  <c r="U133"/>
  <c r="U211"/>
  <c r="U154"/>
  <c r="U157" s="1"/>
  <c r="U250"/>
  <c r="U248"/>
  <c r="U251" s="1"/>
  <c r="U170"/>
  <c r="U173" s="1"/>
  <c r="U225"/>
  <c r="U228" s="1"/>
  <c r="U227"/>
  <c r="U131"/>
  <c r="U134" s="1"/>
  <c r="U117"/>
  <c r="AD71"/>
  <c r="U68"/>
  <c r="U70"/>
  <c r="U84"/>
  <c r="U239"/>
  <c r="U242" s="1"/>
  <c r="U86"/>
  <c r="AD212"/>
  <c r="AD173"/>
  <c r="AD251"/>
  <c r="AD118"/>
  <c r="U107"/>
  <c r="U110" s="1"/>
  <c r="U148"/>
  <c r="U109"/>
  <c r="AD228"/>
  <c r="AD157"/>
  <c r="AD267"/>
  <c r="AD55"/>
  <c r="AD134"/>
  <c r="AD87"/>
  <c r="AD149"/>
  <c r="U195"/>
  <c r="AD243"/>
  <c r="AD196"/>
  <c r="AD62"/>
  <c r="AD61"/>
  <c r="AD78"/>
  <c r="AD77"/>
  <c r="U125"/>
  <c r="U124"/>
  <c r="AD164"/>
  <c r="AD163"/>
  <c r="AD180"/>
  <c r="AD179"/>
  <c r="U203"/>
  <c r="U202"/>
  <c r="U219"/>
  <c r="U218"/>
  <c r="AD258"/>
  <c r="AD257"/>
  <c r="AD274"/>
  <c r="AD273"/>
  <c r="U62"/>
  <c r="U61"/>
  <c r="U63" s="1"/>
  <c r="U78"/>
  <c r="U77"/>
  <c r="AD109"/>
  <c r="AD108"/>
  <c r="AD125"/>
  <c r="AD124"/>
  <c r="U164"/>
  <c r="U163"/>
  <c r="U180"/>
  <c r="U179"/>
  <c r="AD203"/>
  <c r="AD202"/>
  <c r="AD219"/>
  <c r="AD218"/>
  <c r="U258"/>
  <c r="U257"/>
  <c r="U274"/>
  <c r="U273"/>
  <c r="U101"/>
  <c r="AD204" l="1"/>
  <c r="U71"/>
  <c r="U87"/>
  <c r="AD220"/>
  <c r="U79"/>
  <c r="AD275"/>
  <c r="AD181"/>
  <c r="AD63"/>
  <c r="AD259"/>
  <c r="AD165"/>
  <c r="AD79"/>
  <c r="AD110"/>
  <c r="AD126"/>
  <c r="U126"/>
  <c r="D11" i="10"/>
  <c r="F11" s="1"/>
  <c r="H11" s="1"/>
  <c r="J11" s="1"/>
  <c r="B20" l="1"/>
  <c r="D20" s="1"/>
  <c r="F20" s="1"/>
  <c r="H20" s="1"/>
  <c r="J20" s="1"/>
  <c r="B29" l="1"/>
  <c r="D29" s="1"/>
  <c r="F29" s="1"/>
  <c r="H29" s="1"/>
  <c r="J29" s="1"/>
  <c r="B38" l="1"/>
  <c r="D38" s="1"/>
  <c r="F38" s="1"/>
  <c r="H38" s="1"/>
  <c r="J38" s="1"/>
  <c r="B47" l="1"/>
  <c r="D47" s="1"/>
  <c r="F47" s="1"/>
  <c r="H47" s="1"/>
  <c r="J47" s="1"/>
</calcChain>
</file>

<file path=xl/sharedStrings.xml><?xml version="1.0" encoding="utf-8"?>
<sst xmlns="http://schemas.openxmlformats.org/spreadsheetml/2006/main" count="2788" uniqueCount="492">
  <si>
    <t>螞蟻上樹</t>
    <phoneticPr fontId="3" type="noConversion"/>
  </si>
  <si>
    <t>全穀雜糧類</t>
  </si>
  <si>
    <t>豆魚蛋肉類</t>
  </si>
  <si>
    <t>乳品類</t>
  </si>
  <si>
    <t>日期</t>
    <phoneticPr fontId="3" type="noConversion"/>
  </si>
  <si>
    <t>主菜</t>
    <phoneticPr fontId="3" type="noConversion"/>
  </si>
  <si>
    <t>重量(g)</t>
    <phoneticPr fontId="3" type="noConversion"/>
  </si>
  <si>
    <t>副菜</t>
    <phoneticPr fontId="3" type="noConversion"/>
  </si>
  <si>
    <t>湯</t>
    <phoneticPr fontId="3" type="noConversion"/>
  </si>
  <si>
    <t>主食</t>
    <phoneticPr fontId="3" type="noConversion"/>
  </si>
  <si>
    <t xml:space="preserve">營養分析 </t>
    <phoneticPr fontId="3" type="noConversion"/>
  </si>
  <si>
    <t>營養分析</t>
    <phoneticPr fontId="3" type="noConversion"/>
  </si>
  <si>
    <t>醣類g：</t>
    <phoneticPr fontId="3" type="noConversion"/>
  </si>
  <si>
    <t>份</t>
    <phoneticPr fontId="3" type="noConversion"/>
  </si>
  <si>
    <t>熱量</t>
    <phoneticPr fontId="3" type="noConversion"/>
  </si>
  <si>
    <t>Kcal</t>
    <phoneticPr fontId="3" type="noConversion"/>
  </si>
  <si>
    <t>%</t>
    <phoneticPr fontId="3" type="noConversion"/>
  </si>
  <si>
    <t>醣類</t>
    <phoneticPr fontId="3" type="noConversion"/>
  </si>
  <si>
    <t>g</t>
    <phoneticPr fontId="3" type="noConversion"/>
  </si>
  <si>
    <t>脂肪g：</t>
    <phoneticPr fontId="3" type="noConversion"/>
  </si>
  <si>
    <t>蔬菜類</t>
    <phoneticPr fontId="3" type="noConversion"/>
  </si>
  <si>
    <t>脂質</t>
    <phoneticPr fontId="3" type="noConversion"/>
  </si>
  <si>
    <t>水果類</t>
    <phoneticPr fontId="3" type="noConversion"/>
  </si>
  <si>
    <t>蛋白質</t>
    <phoneticPr fontId="3" type="noConversion"/>
  </si>
  <si>
    <t>蛋白質g：</t>
    <phoneticPr fontId="3" type="noConversion"/>
  </si>
  <si>
    <t>星期一</t>
    <phoneticPr fontId="3" type="noConversion"/>
  </si>
  <si>
    <t>油脂與堅果種子類</t>
    <phoneticPr fontId="3" type="noConversion"/>
  </si>
  <si>
    <t>熱量kcal：</t>
    <phoneticPr fontId="3" type="noConversion"/>
  </si>
  <si>
    <t>食材總熱量</t>
    <phoneticPr fontId="3" type="noConversion"/>
  </si>
  <si>
    <t>食物六大類</t>
    <phoneticPr fontId="3" type="noConversion"/>
  </si>
  <si>
    <t>三大營養素</t>
    <phoneticPr fontId="3" type="noConversion"/>
  </si>
  <si>
    <t>星期二</t>
    <phoneticPr fontId="3" type="noConversion"/>
  </si>
  <si>
    <t>星期三</t>
    <phoneticPr fontId="3" type="noConversion"/>
  </si>
  <si>
    <t>陽光蔬菜</t>
    <phoneticPr fontId="3" type="noConversion"/>
  </si>
  <si>
    <t>白米</t>
    <phoneticPr fontId="3" type="noConversion"/>
  </si>
  <si>
    <t>廢棄率</t>
    <phoneticPr fontId="3" type="noConversion"/>
  </si>
  <si>
    <t>星期四</t>
    <phoneticPr fontId="3" type="noConversion"/>
  </si>
  <si>
    <t>活力青菜</t>
    <phoneticPr fontId="3" type="noConversion"/>
  </si>
  <si>
    <t>星期五</t>
    <phoneticPr fontId="3" type="noConversion"/>
  </si>
  <si>
    <t>1人1餐份數*____餐</t>
    <phoneticPr fontId="3" type="noConversion"/>
  </si>
  <si>
    <t>菜單開立均是以可食量(EP)計算</t>
    <phoneticPr fontId="3" type="noConversion"/>
  </si>
  <si>
    <t>每週一、三、五提供深綠色蔬菜 (有機蔬菜菜名需待前一週農民告知)</t>
    <phoneticPr fontId="3" type="noConversion"/>
  </si>
  <si>
    <t>全面使用非基改豆製品</t>
    <phoneticPr fontId="3" type="noConversion"/>
  </si>
  <si>
    <t>水果若是香蕉為2份；蘋果、芭樂、橘子為1份；小番茄、葡萄等為0.3份(水果需待前一週廠商告知)</t>
    <phoneticPr fontId="3" type="noConversion"/>
  </si>
  <si>
    <t>健康青菜</t>
    <phoneticPr fontId="3" type="noConversion"/>
  </si>
  <si>
    <t>青江菜</t>
    <phoneticPr fontId="3" type="noConversion"/>
  </si>
  <si>
    <t>田園蔬菜</t>
    <phoneticPr fontId="3" type="noConversion"/>
  </si>
  <si>
    <t>香菇</t>
    <phoneticPr fontId="3" type="noConversion"/>
  </si>
  <si>
    <t>高纖青菜</t>
    <phoneticPr fontId="3" type="noConversion"/>
  </si>
  <si>
    <t>木耳</t>
    <phoneticPr fontId="3" type="noConversion"/>
  </si>
  <si>
    <t>青菜</t>
    <phoneticPr fontId="3" type="noConversion"/>
  </si>
  <si>
    <t>液蛋</t>
    <phoneticPr fontId="3" type="noConversion"/>
  </si>
  <si>
    <t>冬粉</t>
    <phoneticPr fontId="3" type="noConversion"/>
  </si>
  <si>
    <t>雞丁</t>
    <phoneticPr fontId="3" type="noConversion"/>
  </si>
  <si>
    <t>洋蔥</t>
    <phoneticPr fontId="3" type="noConversion"/>
  </si>
  <si>
    <t>肉絲</t>
    <phoneticPr fontId="3" type="noConversion"/>
  </si>
  <si>
    <t>芹菜</t>
    <phoneticPr fontId="3" type="noConversion"/>
  </si>
  <si>
    <t>油菜</t>
    <phoneticPr fontId="3" type="noConversion"/>
  </si>
  <si>
    <t>杏鮑菇</t>
    <phoneticPr fontId="3" type="noConversion"/>
  </si>
  <si>
    <t>大白菜</t>
    <phoneticPr fontId="3" type="noConversion"/>
  </si>
  <si>
    <t>紅K</t>
    <phoneticPr fontId="3" type="noConversion"/>
  </si>
  <si>
    <t>洋芋</t>
    <phoneticPr fontId="3" type="noConversion"/>
  </si>
  <si>
    <t>雞腿</t>
    <phoneticPr fontId="3" type="noConversion"/>
  </si>
  <si>
    <t>菠菜</t>
    <phoneticPr fontId="3" type="noConversion"/>
  </si>
  <si>
    <t>古早味豬血湯</t>
    <phoneticPr fontId="3" type="noConversion"/>
  </si>
  <si>
    <t>豆芽菜</t>
    <phoneticPr fontId="3" type="noConversion"/>
  </si>
  <si>
    <t>高麗菜</t>
    <phoneticPr fontId="3" type="noConversion"/>
  </si>
  <si>
    <t>白K</t>
    <phoneticPr fontId="3" type="noConversion"/>
  </si>
  <si>
    <t>皮絲</t>
    <phoneticPr fontId="3" type="noConversion"/>
  </si>
  <si>
    <t>肉片</t>
    <phoneticPr fontId="3" type="noConversion"/>
  </si>
  <si>
    <t>金針菇</t>
    <phoneticPr fontId="3" type="noConversion"/>
  </si>
  <si>
    <t>青花</t>
    <phoneticPr fontId="3" type="noConversion"/>
  </si>
  <si>
    <t>竹筍</t>
    <phoneticPr fontId="3" type="noConversion"/>
  </si>
  <si>
    <t>排骨</t>
    <phoneticPr fontId="3" type="noConversion"/>
  </si>
  <si>
    <t>玉米粒</t>
    <phoneticPr fontId="3" type="noConversion"/>
  </si>
  <si>
    <t>油腐</t>
    <phoneticPr fontId="3" type="noConversion"/>
  </si>
  <si>
    <t>絞肉</t>
    <phoneticPr fontId="3" type="noConversion"/>
  </si>
  <si>
    <t>小白菜</t>
    <phoneticPr fontId="3" type="noConversion"/>
  </si>
  <si>
    <t>冬瓜</t>
    <phoneticPr fontId="3" type="noConversion"/>
  </si>
  <si>
    <t>白花椰</t>
    <phoneticPr fontId="3" type="noConversion"/>
  </si>
  <si>
    <t>鳥蛋</t>
    <phoneticPr fontId="3" type="noConversion"/>
  </si>
  <si>
    <t>福州丸</t>
    <phoneticPr fontId="3" type="noConversion"/>
  </si>
  <si>
    <t>青蔥</t>
    <phoneticPr fontId="3" type="noConversion"/>
  </si>
  <si>
    <t>酸菜</t>
    <phoneticPr fontId="3" type="noConversion"/>
  </si>
  <si>
    <t>板豆腐</t>
    <phoneticPr fontId="3" type="noConversion"/>
  </si>
  <si>
    <t>海芽</t>
    <phoneticPr fontId="3" type="noConversion"/>
  </si>
  <si>
    <t>豬血</t>
    <phoneticPr fontId="3" type="noConversion"/>
  </si>
  <si>
    <t>薑絲</t>
    <phoneticPr fontId="3" type="noConversion"/>
  </si>
  <si>
    <t>肉丁</t>
    <phoneticPr fontId="3" type="noConversion"/>
  </si>
  <si>
    <t>芋頭</t>
    <phoneticPr fontId="3" type="noConversion"/>
  </si>
  <si>
    <t>青豆仁</t>
    <phoneticPr fontId="3" type="noConversion"/>
  </si>
  <si>
    <t>紫菜</t>
    <phoneticPr fontId="3" type="noConversion"/>
  </si>
  <si>
    <t>蒙古高麗菜</t>
    <phoneticPr fontId="3" type="noConversion"/>
  </si>
  <si>
    <t>雙色蘿蔔湯</t>
    <phoneticPr fontId="3" type="noConversion"/>
  </si>
  <si>
    <t>白花</t>
    <phoneticPr fontId="3" type="noConversion"/>
  </si>
  <si>
    <t>味噌豆腐湯</t>
    <phoneticPr fontId="3" type="noConversion"/>
  </si>
  <si>
    <t>紫菜蛋花湯</t>
    <phoneticPr fontId="3" type="noConversion"/>
  </si>
  <si>
    <t>蛋液</t>
    <phoneticPr fontId="3" type="noConversion"/>
  </si>
  <si>
    <t>翅小腿</t>
    <phoneticPr fontId="3" type="noConversion"/>
  </si>
  <si>
    <t>炒</t>
    <phoneticPr fontId="3" type="noConversion"/>
  </si>
  <si>
    <t>滷</t>
    <phoneticPr fontId="3" type="noConversion"/>
  </si>
  <si>
    <t>燙</t>
    <phoneticPr fontId="3" type="noConversion"/>
  </si>
  <si>
    <t>煮</t>
    <phoneticPr fontId="3" type="noConversion"/>
  </si>
  <si>
    <t>蒸</t>
    <phoneticPr fontId="3" type="noConversion"/>
  </si>
  <si>
    <t>燒</t>
    <phoneticPr fontId="3" type="noConversion"/>
  </si>
  <si>
    <t>薑絲紫菜湯</t>
    <phoneticPr fontId="3" type="noConversion"/>
  </si>
  <si>
    <t>玉米段</t>
    <phoneticPr fontId="3" type="noConversion"/>
  </si>
  <si>
    <t>蔥燒豬排</t>
    <phoneticPr fontId="3" type="noConversion"/>
  </si>
  <si>
    <t>里肌排</t>
    <phoneticPr fontId="3" type="noConversion"/>
  </si>
  <si>
    <t>筍丁</t>
    <phoneticPr fontId="3" type="noConversion"/>
  </si>
  <si>
    <t>甜椒</t>
    <phoneticPr fontId="3" type="noConversion"/>
  </si>
  <si>
    <t>四季豆</t>
    <phoneticPr fontId="3" type="noConversion"/>
  </si>
  <si>
    <t>蝦捲</t>
    <phoneticPr fontId="3" type="noConversion"/>
  </si>
  <si>
    <t>蚵白菜</t>
    <phoneticPr fontId="3" type="noConversion"/>
  </si>
  <si>
    <t>炸</t>
    <phoneticPr fontId="3" type="noConversion"/>
  </si>
  <si>
    <t>咖哩肉丸</t>
    <phoneticPr fontId="3" type="noConversion"/>
  </si>
  <si>
    <t>杏菇豬排</t>
    <phoneticPr fontId="3" type="noConversion"/>
  </si>
  <si>
    <t>蘑菇</t>
    <phoneticPr fontId="3" type="noConversion"/>
  </si>
  <si>
    <t>肉羹</t>
    <phoneticPr fontId="3" type="noConversion"/>
  </si>
  <si>
    <t>小黃瓜</t>
    <phoneticPr fontId="3" type="noConversion"/>
  </si>
  <si>
    <t>烤</t>
    <phoneticPr fontId="3" type="noConversion"/>
  </si>
  <si>
    <t>枸杞</t>
    <phoneticPr fontId="3" type="noConversion"/>
  </si>
  <si>
    <t>冬瓜雞湯</t>
    <phoneticPr fontId="3" type="noConversion"/>
  </si>
  <si>
    <t>韭菜</t>
    <phoneticPr fontId="3" type="noConversion"/>
  </si>
  <si>
    <t>培根炒雙花</t>
    <phoneticPr fontId="3" type="noConversion"/>
  </si>
  <si>
    <t>培根</t>
    <phoneticPr fontId="3" type="noConversion"/>
  </si>
  <si>
    <t>豆腐</t>
    <phoneticPr fontId="3" type="noConversion"/>
  </si>
  <si>
    <t>金茸三絲湯</t>
    <phoneticPr fontId="3" type="noConversion"/>
  </si>
  <si>
    <t>榨菜</t>
    <phoneticPr fontId="3" type="noConversion"/>
  </si>
  <si>
    <t>鳳梨</t>
    <phoneticPr fontId="3" type="noConversion"/>
  </si>
  <si>
    <t>芋圓</t>
    <phoneticPr fontId="3" type="noConversion"/>
  </si>
  <si>
    <t>地瓜圓</t>
    <phoneticPr fontId="3" type="noConversion"/>
  </si>
  <si>
    <t>雞翅</t>
    <phoneticPr fontId="3" type="noConversion"/>
  </si>
  <si>
    <t>南瓜</t>
    <phoneticPr fontId="3" type="noConversion"/>
  </si>
  <si>
    <t>蜜汁雞腿</t>
    <phoneticPr fontId="3" type="noConversion"/>
  </si>
  <si>
    <t>紅豆</t>
    <phoneticPr fontId="3" type="noConversion"/>
  </si>
  <si>
    <t>豬血丁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</si>
  <si>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</si>
  <si>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</si>
  <si>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</si>
  <si>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</si>
  <si>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</si>
  <si>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香Q白飯</t>
    <phoneticPr fontId="3" type="noConversion"/>
  </si>
  <si>
    <t>熱量(kcal)</t>
    <phoneticPr fontId="3" type="noConversion"/>
  </si>
  <si>
    <t>有任何問題，請找貝佳服務人員</t>
    <phoneticPr fontId="3" type="noConversion"/>
  </si>
  <si>
    <t>紅蘿蔔</t>
    <phoneticPr fontId="3" type="noConversion"/>
  </si>
  <si>
    <t>白蘿蔔</t>
    <phoneticPr fontId="3" type="noConversion"/>
  </si>
  <si>
    <t>花生</t>
    <phoneticPr fontId="3" type="noConversion"/>
  </si>
  <si>
    <t>孜然雞腿</t>
    <phoneticPr fontId="3" type="noConversion"/>
  </si>
  <si>
    <t>和風豆腐</t>
    <phoneticPr fontId="3" type="noConversion"/>
  </si>
  <si>
    <t>輕食關東煮</t>
    <phoneticPr fontId="3" type="noConversion"/>
  </si>
  <si>
    <t>榨菜三絲湯</t>
    <phoneticPr fontId="3" type="noConversion"/>
  </si>
  <si>
    <t>豉汁排骨</t>
    <phoneticPr fontId="3" type="noConversion"/>
  </si>
  <si>
    <t>府城蝦捲</t>
    <phoneticPr fontId="3" type="noConversion"/>
  </si>
  <si>
    <t>日式豬排</t>
    <phoneticPr fontId="3" type="noConversion"/>
  </si>
  <si>
    <t>青花魷魚炒</t>
    <phoneticPr fontId="3" type="noConversion"/>
  </si>
  <si>
    <t>燒烤雞翅</t>
    <phoneticPr fontId="3" type="noConversion"/>
  </si>
  <si>
    <t>五更腸旺</t>
    <phoneticPr fontId="3" type="noConversion"/>
  </si>
  <si>
    <t>藥膳排骨湯</t>
    <phoneticPr fontId="3" type="noConversion"/>
  </si>
  <si>
    <t>香滷福州丸</t>
    <phoneticPr fontId="3" type="noConversion"/>
  </si>
  <si>
    <t>蒲瓜鴿蛋</t>
    <phoneticPr fontId="3" type="noConversion"/>
  </si>
  <si>
    <t>南瓜濃湯</t>
    <phoneticPr fontId="3" type="noConversion"/>
  </si>
  <si>
    <t>可樂豬腳</t>
    <phoneticPr fontId="3" type="noConversion"/>
  </si>
  <si>
    <t>鬱金香雞腿</t>
    <phoneticPr fontId="3" type="noConversion"/>
  </si>
  <si>
    <t>梅干扣肉</t>
    <phoneticPr fontId="3" type="noConversion"/>
  </si>
  <si>
    <t>橙汁豬排</t>
    <phoneticPr fontId="3" type="noConversion"/>
  </si>
  <si>
    <t>宮保雞丁</t>
    <phoneticPr fontId="3" type="noConversion"/>
  </si>
  <si>
    <t>茄汁年糕</t>
    <phoneticPr fontId="3" type="noConversion"/>
  </si>
  <si>
    <t>肉片炒白花</t>
    <phoneticPr fontId="3" type="noConversion"/>
  </si>
  <si>
    <t>黃瓜排骨湯</t>
    <phoneticPr fontId="3" type="noConversion"/>
  </si>
  <si>
    <t>筍丁肉燥</t>
    <phoneticPr fontId="3" type="noConversion"/>
  </si>
  <si>
    <t>敏豆炒什錦</t>
    <phoneticPr fontId="3" type="noConversion"/>
  </si>
  <si>
    <t>蔥油雞腿</t>
    <phoneticPr fontId="3" type="noConversion"/>
  </si>
  <si>
    <t>豉香油腐</t>
    <phoneticPr fontId="3" type="noConversion"/>
  </si>
  <si>
    <t>奶焗洋芋</t>
    <phoneticPr fontId="3" type="noConversion"/>
  </si>
  <si>
    <t>紅燒獅子頭</t>
    <phoneticPr fontId="3" type="noConversion"/>
  </si>
  <si>
    <t>筍片雞湯</t>
    <phoneticPr fontId="3" type="noConversion"/>
  </si>
  <si>
    <t>芹香黑輪</t>
    <phoneticPr fontId="3" type="noConversion"/>
  </si>
  <si>
    <t>紅豆奶茶</t>
    <phoneticPr fontId="3" type="noConversion"/>
  </si>
  <si>
    <t>紹子豆腐</t>
    <phoneticPr fontId="3" type="noConversion"/>
  </si>
  <si>
    <t>味噌肉片高麗</t>
    <phoneticPr fontId="3" type="noConversion"/>
  </si>
  <si>
    <t>鐵板豬柳</t>
    <phoneticPr fontId="3" type="noConversion"/>
  </si>
  <si>
    <t>四季燒翅腿</t>
    <phoneticPr fontId="3" type="noConversion"/>
  </si>
  <si>
    <t>田園玉米</t>
    <phoneticPr fontId="3" type="noConversion"/>
  </si>
  <si>
    <t>芹香蘿蔔湯</t>
    <phoneticPr fontId="3" type="noConversion"/>
  </si>
  <si>
    <t>鮮魚排</t>
    <phoneticPr fontId="3" type="noConversion"/>
  </si>
  <si>
    <t>檸香雞翅</t>
    <phoneticPr fontId="3" type="noConversion"/>
  </si>
  <si>
    <t>鳳梨咕咾肉</t>
    <phoneticPr fontId="3" type="noConversion"/>
  </si>
  <si>
    <t>洋芋濃湯</t>
    <phoneticPr fontId="3" type="noConversion"/>
  </si>
  <si>
    <t>香菇白菜羹</t>
    <phoneticPr fontId="3" type="noConversion"/>
  </si>
  <si>
    <t>酸菜鴨肉湯</t>
    <phoneticPr fontId="3" type="noConversion"/>
  </si>
  <si>
    <t>咖哩滷蛋</t>
    <phoneticPr fontId="3" type="noConversion"/>
  </si>
  <si>
    <t>白花甜不辣</t>
    <phoneticPr fontId="3" type="noConversion"/>
  </si>
  <si>
    <t>茶壺雞湯</t>
    <phoneticPr fontId="3" type="noConversion"/>
  </si>
  <si>
    <t>芹香柳葉魚</t>
    <phoneticPr fontId="3" type="noConversion"/>
  </si>
  <si>
    <t>海芽蛋花湯</t>
    <phoneticPr fontId="3" type="noConversion"/>
  </si>
  <si>
    <t>香草雞腿</t>
    <phoneticPr fontId="3" type="noConversion"/>
  </si>
  <si>
    <t>客家小炒</t>
    <phoneticPr fontId="3" type="noConversion"/>
  </si>
  <si>
    <t>佛跳牆</t>
    <phoneticPr fontId="3" type="noConversion"/>
  </si>
  <si>
    <t>當歸麵線湯</t>
    <phoneticPr fontId="3" type="noConversion"/>
  </si>
  <si>
    <t>咖哩燉肉</t>
    <phoneticPr fontId="3" type="noConversion"/>
  </si>
  <si>
    <t>肉燥福州丸</t>
    <phoneticPr fontId="3" type="noConversion"/>
  </si>
  <si>
    <t>雙菇雪花湯</t>
    <phoneticPr fontId="3" type="noConversion"/>
  </si>
  <si>
    <r>
      <rPr>
        <sz val="16"/>
        <rFont val="新細明體"/>
        <family val="1"/>
        <charset val="136"/>
      </rPr>
      <t>3月份午餐食材明細+營養分析</t>
    </r>
    <r>
      <rPr>
        <sz val="12"/>
        <rFont val="新細明體"/>
        <family val="1"/>
        <charset val="136"/>
      </rPr>
      <t xml:space="preserve">                   貝佳【第4週】</t>
    </r>
    <phoneticPr fontId="3" type="noConversion"/>
  </si>
  <si>
    <t>水煮蛋</t>
    <phoneticPr fontId="3" type="noConversion"/>
  </si>
  <si>
    <t>海苔</t>
    <phoneticPr fontId="3" type="noConversion"/>
  </si>
  <si>
    <t>孜然粉</t>
    <phoneticPr fontId="3" type="noConversion"/>
  </si>
  <si>
    <t>米血</t>
    <phoneticPr fontId="3" type="noConversion"/>
  </si>
  <si>
    <t>燴</t>
    <phoneticPr fontId="3" type="noConversion"/>
  </si>
  <si>
    <t>肉角</t>
    <phoneticPr fontId="3" type="noConversion"/>
  </si>
  <si>
    <t>豆豉</t>
    <phoneticPr fontId="3" type="noConversion"/>
  </si>
  <si>
    <t>玉米</t>
    <phoneticPr fontId="3" type="noConversion"/>
  </si>
  <si>
    <t>紅蘿蔔</t>
  </si>
  <si>
    <t>魷魚</t>
    <phoneticPr fontId="3" type="noConversion"/>
  </si>
  <si>
    <t>紅棗</t>
    <phoneticPr fontId="3" type="noConversion"/>
  </si>
  <si>
    <t>扁蒲</t>
    <phoneticPr fontId="3" type="noConversion"/>
  </si>
  <si>
    <t>鴿蛋</t>
    <phoneticPr fontId="3" type="noConversion"/>
  </si>
  <si>
    <t>豬腳</t>
    <phoneticPr fontId="3" type="noConversion"/>
  </si>
  <si>
    <t>筍乾</t>
    <phoneticPr fontId="3" type="noConversion"/>
  </si>
  <si>
    <r>
      <rPr>
        <sz val="16"/>
        <rFont val="新細明體"/>
        <family val="1"/>
        <charset val="136"/>
      </rPr>
      <t>3月份午餐食材明細+營養分析</t>
    </r>
    <r>
      <rPr>
        <sz val="12"/>
        <rFont val="新細明體"/>
        <family val="1"/>
        <charset val="136"/>
      </rPr>
      <t xml:space="preserve">                   貝佳【第5週】</t>
    </r>
    <phoneticPr fontId="3" type="noConversion"/>
  </si>
  <si>
    <t>豆干片</t>
    <phoneticPr fontId="3" type="noConversion"/>
  </si>
  <si>
    <t>肉排</t>
    <phoneticPr fontId="3" type="noConversion"/>
  </si>
  <si>
    <t>年糕</t>
    <phoneticPr fontId="3" type="noConversion"/>
  </si>
  <si>
    <t>蕃茄</t>
    <phoneticPr fontId="3" type="noConversion"/>
  </si>
  <si>
    <t>白花菜</t>
    <phoneticPr fontId="3" type="noConversion"/>
  </si>
  <si>
    <t>黃瓜</t>
    <phoneticPr fontId="3" type="noConversion"/>
  </si>
  <si>
    <t>豬肉</t>
    <phoneticPr fontId="3" type="noConversion"/>
  </si>
  <si>
    <t>油麵</t>
    <phoneticPr fontId="3" type="noConversion"/>
  </si>
  <si>
    <t>香腸</t>
    <phoneticPr fontId="3" type="noConversion"/>
  </si>
  <si>
    <t>三角油腐</t>
    <phoneticPr fontId="3" type="noConversion"/>
  </si>
  <si>
    <t>甜不辣</t>
    <phoneticPr fontId="3" type="noConversion"/>
  </si>
  <si>
    <t>洋地瓜</t>
    <phoneticPr fontId="3" type="noConversion"/>
  </si>
  <si>
    <t>敏豆</t>
    <phoneticPr fontId="3" type="noConversion"/>
  </si>
  <si>
    <t>玉米筍</t>
    <phoneticPr fontId="3" type="noConversion"/>
  </si>
  <si>
    <t>洋蔥炒蛋</t>
    <phoneticPr fontId="3" type="noConversion"/>
  </si>
  <si>
    <t>百頁</t>
    <phoneticPr fontId="3" type="noConversion"/>
  </si>
  <si>
    <t>梅干菜</t>
    <phoneticPr fontId="3" type="noConversion"/>
  </si>
  <si>
    <r>
      <rPr>
        <sz val="16"/>
        <rFont val="新細明體"/>
        <family val="1"/>
        <charset val="136"/>
      </rPr>
      <t>3月份午餐食材明細+營養分析</t>
    </r>
    <r>
      <rPr>
        <sz val="12"/>
        <rFont val="新細明體"/>
        <family val="1"/>
        <charset val="136"/>
      </rPr>
      <t xml:space="preserve">                   貝佳【第6週】</t>
    </r>
    <phoneticPr fontId="3" type="noConversion"/>
  </si>
  <si>
    <t>葫瓜三絲</t>
    <phoneticPr fontId="3" type="noConversion"/>
  </si>
  <si>
    <t>蒲瓜</t>
    <phoneticPr fontId="3" type="noConversion"/>
  </si>
  <si>
    <t>蕃茄炒蛋</t>
    <phoneticPr fontId="3" type="noConversion"/>
  </si>
  <si>
    <t>西洋芹</t>
    <phoneticPr fontId="3" type="noConversion"/>
  </si>
  <si>
    <t>海鮮排</t>
    <phoneticPr fontId="3" type="noConversion"/>
  </si>
  <si>
    <t>黑輪</t>
    <phoneticPr fontId="3" type="noConversion"/>
  </si>
  <si>
    <t>龍骨丁</t>
    <phoneticPr fontId="3" type="noConversion"/>
  </si>
  <si>
    <t>檸檬汁</t>
    <phoneticPr fontId="3" type="noConversion"/>
  </si>
  <si>
    <t>豬柳</t>
    <phoneticPr fontId="3" type="noConversion"/>
  </si>
  <si>
    <r>
      <rPr>
        <sz val="16"/>
        <rFont val="新細明體"/>
        <family val="1"/>
        <charset val="136"/>
      </rPr>
      <t>3月份午餐食材明細+營養分析</t>
    </r>
    <r>
      <rPr>
        <sz val="12"/>
        <rFont val="新細明體"/>
        <family val="1"/>
        <charset val="136"/>
      </rPr>
      <t xml:space="preserve">                   貝佳【第7週】</t>
    </r>
    <phoneticPr fontId="3" type="noConversion"/>
  </si>
  <si>
    <t>野菇百頁</t>
    <phoneticPr fontId="3" type="noConversion"/>
  </si>
  <si>
    <t>鮮菇</t>
    <phoneticPr fontId="3" type="noConversion"/>
  </si>
  <si>
    <t>海苔絲</t>
    <phoneticPr fontId="3" type="noConversion"/>
  </si>
  <si>
    <t>鴨肉</t>
    <phoneticPr fontId="3" type="noConversion"/>
  </si>
  <si>
    <t>雞腿排</t>
    <phoneticPr fontId="3" type="noConversion"/>
  </si>
  <si>
    <t>海帶芽</t>
    <phoneticPr fontId="3" type="noConversion"/>
  </si>
  <si>
    <t>香菇瓜仔雞</t>
    <phoneticPr fontId="3" type="noConversion"/>
  </si>
  <si>
    <t>蒙古肉片</t>
    <phoneticPr fontId="3" type="noConversion"/>
  </si>
  <si>
    <t>柳葉魚</t>
    <phoneticPr fontId="3" type="noConversion"/>
  </si>
  <si>
    <r>
      <rPr>
        <sz val="16"/>
        <rFont val="新細明體"/>
        <family val="1"/>
        <charset val="136"/>
      </rPr>
      <t>3月份午餐食材明細+營養分析</t>
    </r>
    <r>
      <rPr>
        <sz val="12"/>
        <rFont val="新細明體"/>
        <family val="1"/>
        <charset val="136"/>
      </rPr>
      <t xml:space="preserve">                   貝佳【第8週】</t>
    </r>
    <phoneticPr fontId="3" type="noConversion"/>
  </si>
  <si>
    <t>麵線</t>
    <phoneticPr fontId="3" type="noConversion"/>
  </si>
  <si>
    <t>筍片</t>
    <phoneticPr fontId="3" type="noConversion"/>
  </si>
  <si>
    <t>青花椰</t>
    <phoneticPr fontId="3" type="noConversion"/>
  </si>
  <si>
    <t>第4週</t>
    <phoneticPr fontId="3" type="noConversion"/>
  </si>
  <si>
    <t>第5週</t>
    <phoneticPr fontId="3" type="noConversion"/>
  </si>
  <si>
    <t>第6週</t>
    <phoneticPr fontId="3" type="noConversion"/>
  </si>
  <si>
    <t>第7週</t>
    <phoneticPr fontId="3" type="noConversion"/>
  </si>
  <si>
    <t>第8週</t>
    <phoneticPr fontId="3" type="noConversion"/>
  </si>
  <si>
    <t>上海菜飯</t>
    <phoneticPr fontId="3" type="noConversion"/>
  </si>
  <si>
    <t>麻糬可頌</t>
    <phoneticPr fontId="3" type="noConversion"/>
  </si>
  <si>
    <t>墨西哥炸雞</t>
    <phoneticPr fontId="3" type="noConversion"/>
  </si>
  <si>
    <t>椰果奶茶</t>
    <phoneticPr fontId="3" type="noConversion"/>
  </si>
  <si>
    <t>椰果</t>
    <phoneticPr fontId="3" type="noConversion"/>
  </si>
  <si>
    <t>高麗菜</t>
    <phoneticPr fontId="3" type="noConversion"/>
  </si>
  <si>
    <t>九份芋圓</t>
    <phoneticPr fontId="3" type="noConversion"/>
  </si>
  <si>
    <t>台南擔擔麵</t>
    <phoneticPr fontId="3" type="noConversion"/>
  </si>
  <si>
    <t>豬肉片</t>
    <phoneticPr fontId="3" type="noConversion"/>
  </si>
  <si>
    <t>小瓜炒豚片</t>
    <phoneticPr fontId="3" type="noConversion"/>
  </si>
  <si>
    <t>奶粉</t>
    <phoneticPr fontId="3" type="noConversion"/>
  </si>
  <si>
    <t>紅茶包</t>
    <phoneticPr fontId="3" type="noConversion"/>
  </si>
  <si>
    <t>包冰率</t>
    <phoneticPr fontId="3" type="noConversion"/>
  </si>
  <si>
    <t>小瓜炒香腸</t>
    <phoneticPr fontId="3" type="noConversion"/>
  </si>
  <si>
    <t>肉圓</t>
    <phoneticPr fontId="3" type="noConversion"/>
  </si>
  <si>
    <t>蒜泥</t>
    <phoneticPr fontId="3" type="noConversion"/>
  </si>
  <si>
    <t>海苔蒸蛋</t>
    <phoneticPr fontId="3" type="noConversion"/>
  </si>
  <si>
    <t>時蔬炒蛋</t>
    <phoneticPr fontId="3" type="noConversion"/>
  </si>
  <si>
    <t>孜然雞腿</t>
    <phoneticPr fontId="3" type="noConversion"/>
  </si>
  <si>
    <t>豉汁排骨</t>
    <phoneticPr fontId="3" type="noConversion"/>
  </si>
  <si>
    <t>燒烤雞翅</t>
    <phoneticPr fontId="3" type="noConversion"/>
  </si>
  <si>
    <t>可樂豬腳</t>
    <phoneticPr fontId="3" type="noConversion"/>
  </si>
  <si>
    <t>豉汁排骨</t>
    <phoneticPr fontId="3" type="noConversion"/>
  </si>
  <si>
    <t>燒烤雞翅</t>
    <phoneticPr fontId="3" type="noConversion"/>
  </si>
  <si>
    <t>香滷腿排</t>
    <phoneticPr fontId="3" type="noConversion"/>
  </si>
  <si>
    <t>蜜汁雞腿</t>
    <phoneticPr fontId="3" type="noConversion"/>
  </si>
  <si>
    <t>府城蝦捲</t>
    <phoneticPr fontId="3" type="noConversion"/>
  </si>
  <si>
    <t>蒲瓜鴿蛋</t>
    <phoneticPr fontId="3" type="noConversion"/>
  </si>
  <si>
    <t>茄汁年糕</t>
    <phoneticPr fontId="3" type="noConversion"/>
  </si>
  <si>
    <t>肉片炒白花</t>
    <phoneticPr fontId="3" type="noConversion"/>
  </si>
  <si>
    <t>麻糬可頌</t>
    <phoneticPr fontId="3" type="noConversion"/>
  </si>
  <si>
    <t>金茸三絲湯</t>
    <phoneticPr fontId="3" type="noConversion"/>
  </si>
  <si>
    <t>味噌豆腐湯</t>
    <phoneticPr fontId="3" type="noConversion"/>
  </si>
  <si>
    <t>豉香油腐</t>
    <phoneticPr fontId="3" type="noConversion"/>
  </si>
  <si>
    <t>奶焗洋芋</t>
    <phoneticPr fontId="3" type="noConversion"/>
  </si>
  <si>
    <t>葫瓜什錦</t>
    <phoneticPr fontId="3" type="noConversion"/>
  </si>
  <si>
    <t>芹香黑輪</t>
    <phoneticPr fontId="3" type="noConversion"/>
  </si>
  <si>
    <t>味噌肉片高麗</t>
    <phoneticPr fontId="3" type="noConversion"/>
  </si>
  <si>
    <t>古早味豬血湯</t>
    <phoneticPr fontId="3" type="noConversion"/>
  </si>
  <si>
    <t>筍片雞湯</t>
    <phoneticPr fontId="3" type="noConversion"/>
  </si>
  <si>
    <t>咖哩滷蛋</t>
    <phoneticPr fontId="3" type="noConversion"/>
  </si>
  <si>
    <t>蒜蓉肉圓</t>
    <phoneticPr fontId="3" type="noConversion"/>
  </si>
  <si>
    <t>白花甜不辣</t>
    <phoneticPr fontId="3" type="noConversion"/>
  </si>
  <si>
    <t>蒙古炒肉片</t>
    <phoneticPr fontId="3" type="noConversion"/>
  </si>
  <si>
    <t>茶壺雞湯</t>
    <phoneticPr fontId="3" type="noConversion"/>
  </si>
  <si>
    <t>海芽蛋花湯</t>
    <phoneticPr fontId="3" type="noConversion"/>
  </si>
  <si>
    <t>肉燥福州丸</t>
    <phoneticPr fontId="3" type="noConversion"/>
  </si>
  <si>
    <t>佛跳牆</t>
    <phoneticPr fontId="3" type="noConversion"/>
  </si>
  <si>
    <t>當歸麵線湯</t>
    <phoneticPr fontId="3" type="noConversion"/>
  </si>
  <si>
    <t>雙菇雪花湯</t>
    <phoneticPr fontId="3" type="noConversion"/>
  </si>
  <si>
    <t>油菜</t>
    <phoneticPr fontId="3" type="noConversion"/>
  </si>
  <si>
    <t>第3週</t>
    <phoneticPr fontId="3" type="noConversion"/>
  </si>
  <si>
    <t>義式白醬燉雞</t>
    <phoneticPr fontId="3" type="noConversion"/>
  </si>
  <si>
    <t>熱量(kcal)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</si>
  <si>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</si>
  <si>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</si>
  <si>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</si>
  <si>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</si>
  <si>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</si>
  <si>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蜜汁腿排</t>
    <phoneticPr fontId="3" type="noConversion"/>
  </si>
  <si>
    <t>淋汁豬排</t>
    <phoneticPr fontId="3" type="noConversion"/>
  </si>
  <si>
    <t>梅干燒肉</t>
    <phoneticPr fontId="3" type="noConversion"/>
  </si>
  <si>
    <t>香菇肉躁</t>
    <phoneticPr fontId="3" type="noConversion"/>
  </si>
  <si>
    <t>滷貢丸什錦</t>
    <phoneticPr fontId="3" type="noConversion"/>
  </si>
  <si>
    <t>香菇肉羹</t>
    <phoneticPr fontId="3" type="noConversion"/>
  </si>
  <si>
    <t>韓式炒豆芽</t>
    <phoneticPr fontId="3" type="noConversion"/>
  </si>
  <si>
    <t>麻吉可頌</t>
    <phoneticPr fontId="3" type="noConversion"/>
  </si>
  <si>
    <t>菠菜</t>
    <phoneticPr fontId="3" type="noConversion"/>
  </si>
  <si>
    <t>青江菜</t>
    <phoneticPr fontId="3" type="noConversion"/>
  </si>
  <si>
    <t>蚵白菜</t>
    <phoneticPr fontId="3" type="noConversion"/>
  </si>
  <si>
    <t>玉米濃湯</t>
    <phoneticPr fontId="3" type="noConversion"/>
  </si>
  <si>
    <t>芋香西米露</t>
    <phoneticPr fontId="3" type="noConversion"/>
  </si>
  <si>
    <t>紫菜魚丸湯</t>
    <phoneticPr fontId="3" type="noConversion"/>
  </si>
  <si>
    <r>
      <rPr>
        <sz val="16"/>
        <rFont val="新細明體"/>
        <family val="1"/>
        <charset val="136"/>
      </rPr>
      <t>2月份午餐食材明細+營養分析</t>
    </r>
    <r>
      <rPr>
        <sz val="12"/>
        <rFont val="新細明體"/>
        <family val="1"/>
        <charset val="136"/>
      </rPr>
      <t xml:space="preserve">                   貝佳【第3週】</t>
    </r>
    <phoneticPr fontId="3" type="noConversion"/>
  </si>
  <si>
    <t>日期</t>
    <phoneticPr fontId="3" type="noConversion"/>
  </si>
  <si>
    <t>主菜</t>
    <phoneticPr fontId="3" type="noConversion"/>
  </si>
  <si>
    <t>重量(g)</t>
    <phoneticPr fontId="3" type="noConversion"/>
  </si>
  <si>
    <t>副菜</t>
    <phoneticPr fontId="3" type="noConversion"/>
  </si>
  <si>
    <t>湯</t>
    <phoneticPr fontId="3" type="noConversion"/>
  </si>
  <si>
    <t>主食</t>
    <phoneticPr fontId="3" type="noConversion"/>
  </si>
  <si>
    <t xml:space="preserve">營養分析 </t>
    <phoneticPr fontId="3" type="noConversion"/>
  </si>
  <si>
    <t>營養分析</t>
    <phoneticPr fontId="3" type="noConversion"/>
  </si>
  <si>
    <t>香Q白飯</t>
    <phoneticPr fontId="3" type="noConversion"/>
  </si>
  <si>
    <t>醣類g：</t>
    <phoneticPr fontId="3" type="noConversion"/>
  </si>
  <si>
    <t>份</t>
    <phoneticPr fontId="3" type="noConversion"/>
  </si>
  <si>
    <t>熱量</t>
    <phoneticPr fontId="3" type="noConversion"/>
  </si>
  <si>
    <t>Kcal</t>
    <phoneticPr fontId="3" type="noConversion"/>
  </si>
  <si>
    <t>%</t>
    <phoneticPr fontId="3" type="noConversion"/>
  </si>
  <si>
    <t>食物六大類</t>
    <phoneticPr fontId="3" type="noConversion"/>
  </si>
  <si>
    <t>三大營養素</t>
    <phoneticPr fontId="3" type="noConversion"/>
  </si>
  <si>
    <t>液蛋</t>
    <phoneticPr fontId="3" type="noConversion"/>
  </si>
  <si>
    <t>洋芋</t>
    <phoneticPr fontId="3" type="noConversion"/>
  </si>
  <si>
    <t>白米</t>
    <phoneticPr fontId="3" type="noConversion"/>
  </si>
  <si>
    <t>醣類</t>
    <phoneticPr fontId="3" type="noConversion"/>
  </si>
  <si>
    <t>g</t>
    <phoneticPr fontId="3" type="noConversion"/>
  </si>
  <si>
    <t>廢棄率</t>
    <phoneticPr fontId="3" type="noConversion"/>
  </si>
  <si>
    <t>香菇</t>
    <phoneticPr fontId="3" type="noConversion"/>
  </si>
  <si>
    <t>洋蔥</t>
    <phoneticPr fontId="3" type="noConversion"/>
  </si>
  <si>
    <t>脂肪g：</t>
    <phoneticPr fontId="3" type="noConversion"/>
  </si>
  <si>
    <t>蔬菜類</t>
    <phoneticPr fontId="3" type="noConversion"/>
  </si>
  <si>
    <t>脂質</t>
    <phoneticPr fontId="3" type="noConversion"/>
  </si>
  <si>
    <t>紅K</t>
    <phoneticPr fontId="3" type="noConversion"/>
  </si>
  <si>
    <t>薑絲</t>
    <phoneticPr fontId="3" type="noConversion"/>
  </si>
  <si>
    <t>水果類</t>
    <phoneticPr fontId="3" type="noConversion"/>
  </si>
  <si>
    <t>蛋白質</t>
    <phoneticPr fontId="3" type="noConversion"/>
  </si>
  <si>
    <t>青豆仁</t>
    <phoneticPr fontId="3" type="noConversion"/>
  </si>
  <si>
    <t>蛋白質g：</t>
    <phoneticPr fontId="3" type="noConversion"/>
  </si>
  <si>
    <t>油脂與堅果種子類</t>
    <phoneticPr fontId="3" type="noConversion"/>
  </si>
  <si>
    <t>熱量kcal：</t>
    <phoneticPr fontId="3" type="noConversion"/>
  </si>
  <si>
    <t>食材總熱量</t>
    <phoneticPr fontId="3" type="noConversion"/>
  </si>
  <si>
    <t>炸</t>
    <phoneticPr fontId="3" type="noConversion"/>
  </si>
  <si>
    <t>蒸</t>
    <phoneticPr fontId="3" type="noConversion"/>
  </si>
  <si>
    <t>烤</t>
    <phoneticPr fontId="3" type="noConversion"/>
  </si>
  <si>
    <t>燙</t>
    <phoneticPr fontId="3" type="noConversion"/>
  </si>
  <si>
    <t>煮</t>
    <phoneticPr fontId="3" type="noConversion"/>
  </si>
  <si>
    <t>香菇肉躁</t>
    <phoneticPr fontId="3" type="noConversion"/>
  </si>
  <si>
    <t>韓式炒豆芽</t>
    <phoneticPr fontId="3" type="noConversion"/>
  </si>
  <si>
    <t>田園蔬菜</t>
    <phoneticPr fontId="3" type="noConversion"/>
  </si>
  <si>
    <t>玉米濃湯</t>
    <phoneticPr fontId="3" type="noConversion"/>
  </si>
  <si>
    <t>腿排</t>
    <phoneticPr fontId="3" type="noConversion"/>
  </si>
  <si>
    <t>絞肉</t>
    <phoneticPr fontId="3" type="noConversion"/>
  </si>
  <si>
    <t>高麗菜</t>
    <phoneticPr fontId="3" type="noConversion"/>
  </si>
  <si>
    <t>菠菜</t>
    <phoneticPr fontId="3" type="noConversion"/>
  </si>
  <si>
    <t>玉米粒</t>
    <phoneticPr fontId="3" type="noConversion"/>
  </si>
  <si>
    <t>香菇絲</t>
    <phoneticPr fontId="3" type="noConversion"/>
  </si>
  <si>
    <t>豆芽</t>
    <phoneticPr fontId="3" type="noConversion"/>
  </si>
  <si>
    <t>花瓜</t>
    <phoneticPr fontId="3" type="noConversion"/>
  </si>
  <si>
    <t>肉絲</t>
    <phoneticPr fontId="3" type="noConversion"/>
  </si>
  <si>
    <t>鳥蛋</t>
    <phoneticPr fontId="3" type="noConversion"/>
  </si>
  <si>
    <t>泡菜</t>
    <phoneticPr fontId="3" type="noConversion"/>
  </si>
  <si>
    <t>炒</t>
    <phoneticPr fontId="3" type="noConversion"/>
  </si>
  <si>
    <t>酥炸雞腿</t>
    <phoneticPr fontId="3" type="noConversion"/>
  </si>
  <si>
    <t>滷貢丸什錦</t>
    <phoneticPr fontId="3" type="noConversion"/>
  </si>
  <si>
    <t>麻吉可頌</t>
    <phoneticPr fontId="3" type="noConversion"/>
  </si>
  <si>
    <t>高纖青菜</t>
    <phoneticPr fontId="3" type="noConversion"/>
  </si>
  <si>
    <t>芋香西米露</t>
    <phoneticPr fontId="3" type="noConversion"/>
  </si>
  <si>
    <t>貝佳炒飯</t>
    <phoneticPr fontId="3" type="noConversion"/>
  </si>
  <si>
    <t>雞腿</t>
    <phoneticPr fontId="3" type="noConversion"/>
  </si>
  <si>
    <t>貢丸</t>
    <phoneticPr fontId="3" type="noConversion"/>
  </si>
  <si>
    <t>青江菜</t>
    <phoneticPr fontId="3" type="noConversion"/>
  </si>
  <si>
    <t>芋頭</t>
    <phoneticPr fontId="3" type="noConversion"/>
  </si>
  <si>
    <t>海帶結</t>
    <phoneticPr fontId="3" type="noConversion"/>
  </si>
  <si>
    <t>西谷米</t>
    <phoneticPr fontId="3" type="noConversion"/>
  </si>
  <si>
    <t>三角油腐</t>
    <phoneticPr fontId="3" type="noConversion"/>
  </si>
  <si>
    <t>滷</t>
    <phoneticPr fontId="3" type="noConversion"/>
  </si>
  <si>
    <t>香菇肉羹</t>
    <phoneticPr fontId="3" type="noConversion"/>
  </si>
  <si>
    <t>陽光蔬菜</t>
    <phoneticPr fontId="3" type="noConversion"/>
  </si>
  <si>
    <t>紫菜魚丸湯</t>
    <phoneticPr fontId="3" type="noConversion"/>
  </si>
  <si>
    <t>帶骨大排</t>
    <phoneticPr fontId="3" type="noConversion"/>
  </si>
  <si>
    <t>大白菜</t>
    <phoneticPr fontId="3" type="noConversion"/>
  </si>
  <si>
    <t>蚵白菜</t>
    <phoneticPr fontId="3" type="noConversion"/>
  </si>
  <si>
    <t>魚丸</t>
    <phoneticPr fontId="3" type="noConversion"/>
  </si>
  <si>
    <t>竹筍絲</t>
    <phoneticPr fontId="3" type="noConversion"/>
  </si>
  <si>
    <t>紫菜</t>
    <phoneticPr fontId="3" type="noConversion"/>
  </si>
  <si>
    <t>肉羹</t>
    <phoneticPr fontId="3" type="noConversion"/>
  </si>
  <si>
    <t>青蔥段</t>
    <phoneticPr fontId="3" type="noConversion"/>
  </si>
  <si>
    <t>1人1餐份數*____餐</t>
    <phoneticPr fontId="3" type="noConversion"/>
  </si>
  <si>
    <t>菜單開立均是以可食量(EP)計算</t>
    <phoneticPr fontId="3" type="noConversion"/>
  </si>
  <si>
    <t>每週一、三、五提供深綠色蔬菜 (有機蔬菜菜名需待前一週農民告知)</t>
    <phoneticPr fontId="3" type="noConversion"/>
  </si>
  <si>
    <t>全面使用非基改豆製品</t>
    <phoneticPr fontId="3" type="noConversion"/>
  </si>
  <si>
    <t>水果若是香蕉為2份；蘋果、芭樂、橘子為1份；小番茄、葡萄等為0.3份(水果需待前一週廠商告知)</t>
    <phoneticPr fontId="3" type="noConversion"/>
  </si>
  <si>
    <t>鳳梨咕咾肉</t>
    <phoneticPr fontId="3" type="noConversion"/>
  </si>
  <si>
    <t>蔥燒豬排</t>
    <phoneticPr fontId="3" type="noConversion"/>
  </si>
  <si>
    <t>杏菇豬排</t>
    <phoneticPr fontId="3" type="noConversion"/>
  </si>
  <si>
    <t>蔥油雞腿</t>
    <phoneticPr fontId="3" type="noConversion"/>
  </si>
  <si>
    <t>檸香雞翅</t>
    <phoneticPr fontId="3" type="noConversion"/>
  </si>
  <si>
    <t>鐵板豬柳</t>
    <phoneticPr fontId="3" type="noConversion"/>
  </si>
  <si>
    <t>香草雞腿</t>
    <phoneticPr fontId="3" type="noConversion"/>
  </si>
  <si>
    <t>咖哩燉肉</t>
    <phoneticPr fontId="3" type="noConversion"/>
  </si>
  <si>
    <t>橙汁豬排</t>
    <phoneticPr fontId="3" type="noConversion"/>
  </si>
  <si>
    <t>宮保雞丁</t>
    <phoneticPr fontId="3" type="noConversion"/>
  </si>
  <si>
    <t>香滷腿排</t>
    <phoneticPr fontId="3" type="noConversion"/>
  </si>
  <si>
    <t>梅干扣肉</t>
    <phoneticPr fontId="3" type="noConversion"/>
  </si>
  <si>
    <t>香菇瓜仔雞</t>
    <phoneticPr fontId="3" type="noConversion"/>
  </si>
  <si>
    <t>香Q白飯</t>
    <phoneticPr fontId="3" type="noConversion"/>
  </si>
  <si>
    <t>上海菜飯</t>
    <phoneticPr fontId="3" type="noConversion"/>
  </si>
  <si>
    <t>台南擔擔麵</t>
    <phoneticPr fontId="3" type="noConversion"/>
  </si>
  <si>
    <t>星期一</t>
    <phoneticPr fontId="3" type="noConversion"/>
  </si>
  <si>
    <t>星期二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</si>
  <si>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</si>
  <si>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</si>
  <si>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</si>
  <si>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和風豆腐</t>
    <phoneticPr fontId="3" type="noConversion"/>
  </si>
  <si>
    <t>海苔蒸蛋</t>
    <phoneticPr fontId="3" type="noConversion"/>
  </si>
  <si>
    <t>五更腸旺</t>
    <phoneticPr fontId="3" type="noConversion"/>
  </si>
  <si>
    <t>輕食關東煮</t>
    <phoneticPr fontId="3" type="noConversion"/>
  </si>
  <si>
    <t>青花魷魚炒</t>
    <phoneticPr fontId="3" type="noConversion"/>
  </si>
  <si>
    <t>蒙古高麗菜</t>
    <phoneticPr fontId="3" type="noConversion"/>
  </si>
  <si>
    <t>仙草奶茶</t>
    <phoneticPr fontId="3" type="noConversion"/>
  </si>
  <si>
    <t>南瓜濃湯</t>
    <phoneticPr fontId="3" type="noConversion"/>
  </si>
  <si>
    <t>洋蔥滑蛋</t>
    <phoneticPr fontId="3" type="noConversion"/>
  </si>
  <si>
    <t>螞蟻上樹</t>
    <phoneticPr fontId="3" type="noConversion"/>
  </si>
  <si>
    <t>雙色蘿蔔湯</t>
    <phoneticPr fontId="3" type="noConversion"/>
  </si>
  <si>
    <t>九份芋圓</t>
    <phoneticPr fontId="3" type="noConversion"/>
  </si>
  <si>
    <t>番茄炒蛋</t>
    <phoneticPr fontId="3" type="noConversion"/>
  </si>
  <si>
    <t>紹子豆腐</t>
    <phoneticPr fontId="3" type="noConversion"/>
  </si>
  <si>
    <t>四季燒翅腿</t>
    <phoneticPr fontId="3" type="noConversion"/>
  </si>
  <si>
    <t>薑絲紫菜湯</t>
    <phoneticPr fontId="3" type="noConversion"/>
  </si>
  <si>
    <t>香菇白菜羹</t>
    <phoneticPr fontId="3" type="noConversion"/>
  </si>
  <si>
    <t>小瓜炒香腸</t>
    <phoneticPr fontId="3" type="noConversion"/>
  </si>
  <si>
    <t>芹香柳葉魚</t>
    <phoneticPr fontId="3" type="noConversion"/>
  </si>
  <si>
    <t>時蔬炒蛋</t>
    <phoneticPr fontId="3" type="noConversion"/>
  </si>
  <si>
    <t>花椰菜</t>
    <phoneticPr fontId="3" type="noConversion"/>
  </si>
  <si>
    <t>彩繪雙花</t>
    <phoneticPr fontId="3" type="noConversion"/>
  </si>
  <si>
    <t>彩繪雙花</t>
    <phoneticPr fontId="3" type="noConversion"/>
  </si>
  <si>
    <t>彩椒</t>
    <phoneticPr fontId="3" type="noConversion"/>
  </si>
  <si>
    <t>蘿蔔佃煮</t>
    <phoneticPr fontId="3" type="noConversion"/>
  </si>
  <si>
    <t>蘿蔔佃煮</t>
    <phoneticPr fontId="3" type="noConversion"/>
  </si>
  <si>
    <t>鮮蔬冬粉</t>
    <phoneticPr fontId="3" type="noConversion"/>
  </si>
  <si>
    <t>鮮蔬冬粉</t>
    <phoneticPr fontId="3" type="noConversion"/>
  </si>
  <si>
    <t>冬粉</t>
    <phoneticPr fontId="3" type="noConversion"/>
  </si>
  <si>
    <t>高麗菜</t>
    <phoneticPr fontId="3" type="noConversion"/>
  </si>
  <si>
    <t>紅K</t>
    <phoneticPr fontId="3" type="noConversion"/>
  </si>
  <si>
    <t>木耳</t>
    <phoneticPr fontId="3" type="noConversion"/>
  </si>
  <si>
    <t>芋香四色丁</t>
    <phoneticPr fontId="3" type="noConversion"/>
  </si>
  <si>
    <t>芋香四色丁</t>
    <phoneticPr fontId="3" type="noConversion"/>
  </si>
  <si>
    <t>芋頭</t>
    <phoneticPr fontId="3" type="noConversion"/>
  </si>
  <si>
    <t>洋芋</t>
    <phoneticPr fontId="3" type="noConversion"/>
  </si>
  <si>
    <t>紅K</t>
    <phoneticPr fontId="3" type="noConversion"/>
  </si>
  <si>
    <t>洋蔥</t>
    <phoneticPr fontId="3" type="noConversion"/>
  </si>
  <si>
    <t>青豆仁</t>
    <phoneticPr fontId="3" type="noConversion"/>
  </si>
  <si>
    <t>＊酥炸雞腿</t>
    <phoneticPr fontId="3" type="noConversion"/>
  </si>
  <si>
    <t>＊日式豬排</t>
    <phoneticPr fontId="3" type="noConversion"/>
  </si>
  <si>
    <t>＊鬱金香雞腿</t>
    <phoneticPr fontId="3" type="noConversion"/>
  </si>
  <si>
    <t>＊鮮魚排</t>
    <phoneticPr fontId="3" type="noConversion"/>
  </si>
  <si>
    <t>＊墨西哥炸雞</t>
    <phoneticPr fontId="3" type="noConversion"/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</si>
</sst>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176" formatCode="m&quot;月&quot;d&quot;日&quot;"/>
    <numFmt numFmtId="177" formatCode="0.0"/>
    <numFmt numFmtId="178" formatCode="0.0_ "/>
    <numFmt numFmtId="179" formatCode="0.00_ "/>
    <numFmt numFmtId="180" formatCode="m&quot;月&quot;d&quot;日&quot;;@"/>
  </numFmts>
  <fonts count="3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1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28"/>
      <color indexed="18"/>
      <name val="華康布丁體"/>
      <family val="5"/>
      <charset val="136"/>
    </font>
    <font>
      <sz val="12"/>
      <color rgb="FFFF0000"/>
      <name val="新細明體"/>
      <family val="1"/>
      <charset val="136"/>
    </font>
    <font>
      <sz val="13"/>
      <name val="新細明體"/>
      <family val="1"/>
      <charset val="136"/>
    </font>
    <font>
      <sz val="14"/>
      <name val="華康流隸體(P)"/>
      <family val="4"/>
      <charset val="136"/>
    </font>
    <font>
      <sz val="12"/>
      <name val="華康流隸體(P)"/>
      <family val="4"/>
      <charset val="136"/>
    </font>
    <font>
      <sz val="14"/>
      <name val="華康中圓體"/>
      <family val="3"/>
      <charset val="136"/>
    </font>
    <font>
      <sz val="12"/>
      <color indexed="8"/>
      <name val="華康中圓體"/>
      <family val="3"/>
      <charset val="136"/>
    </font>
    <font>
      <sz val="12"/>
      <name val="華康中圓體"/>
      <family val="3"/>
      <charset val="136"/>
    </font>
    <font>
      <sz val="10"/>
      <name val="華康中圓體"/>
      <family val="3"/>
      <charset val="136"/>
    </font>
    <font>
      <b/>
      <sz val="9"/>
      <name val="華康中圓體"/>
      <family val="3"/>
      <charset val="136"/>
    </font>
    <font>
      <sz val="14"/>
      <color indexed="8"/>
      <name val="華康中圓體"/>
      <family val="3"/>
      <charset val="136"/>
    </font>
    <font>
      <sz val="28"/>
      <color indexed="41"/>
      <name val="華康中圓體"/>
      <family val="3"/>
      <charset val="136"/>
    </font>
    <font>
      <b/>
      <sz val="12"/>
      <color indexed="10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22"/>
      <color indexed="8"/>
      <name val="華康娃娃體(P)"/>
      <family val="5"/>
      <charset val="136"/>
    </font>
    <font>
      <sz val="22"/>
      <color rgb="FF008000"/>
      <name val="華康娃娃體(P)"/>
      <family val="5"/>
      <charset val="136"/>
    </font>
    <font>
      <sz val="36"/>
      <color indexed="10"/>
      <name val="華康POP1體W7(P)"/>
      <family val="5"/>
      <charset val="136"/>
    </font>
    <font>
      <sz val="14"/>
      <name val="華康娃娃體(P)"/>
      <family val="5"/>
      <charset val="136"/>
    </font>
    <font>
      <sz val="12"/>
      <name val="華康娃娃體(P)"/>
      <family val="5"/>
      <charset val="136"/>
    </font>
    <font>
      <sz val="10"/>
      <name val="華康娃娃體(P)"/>
      <family val="5"/>
      <charset val="136"/>
    </font>
    <font>
      <sz val="9"/>
      <name val="華康娃娃體(P)"/>
      <family val="5"/>
      <charset val="136"/>
    </font>
    <font>
      <sz val="22"/>
      <name val="華康娃娃體(P)"/>
      <family val="5"/>
      <charset val="136"/>
    </font>
    <font>
      <sz val="34"/>
      <color indexed="10"/>
      <name val="華康POP1體W7(P)"/>
      <family val="5"/>
      <charset val="136"/>
    </font>
    <font>
      <sz val="32"/>
      <color indexed="10"/>
      <name val="華康POP1體W7(P)"/>
      <family val="5"/>
      <charset val="136"/>
    </font>
    <font>
      <sz val="38"/>
      <color indexed="10"/>
      <name val="華康POP1體W7(P)"/>
      <family val="5"/>
      <charset val="136"/>
    </font>
    <font>
      <sz val="24"/>
      <name val="華康娃娃體(P)"/>
      <family val="5"/>
      <charset val="136"/>
    </font>
    <font>
      <sz val="24"/>
      <color indexed="8"/>
      <name val="華康娃娃體(P)"/>
      <family val="5"/>
      <charset val="136"/>
    </font>
    <font>
      <sz val="24"/>
      <color rgb="FF008000"/>
      <name val="華康娃娃體(P)"/>
      <family val="5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22"/>
      </left>
      <right style="thin">
        <color indexed="5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59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5" fillId="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</cellStyleXfs>
  <cellXfs count="28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vertical="center" textRotation="255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2" fillId="3" borderId="5" xfId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right" vertical="center"/>
    </xf>
    <xf numFmtId="0" fontId="2" fillId="5" borderId="15" xfId="1" applyFont="1" applyFill="1" applyBorder="1" applyAlignment="1">
      <alignment horizontal="center" vertical="center"/>
    </xf>
    <xf numFmtId="179" fontId="2" fillId="0" borderId="16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77" fontId="2" fillId="0" borderId="17" xfId="1" applyNumberFormat="1" applyFont="1" applyFill="1" applyBorder="1" applyAlignment="1">
      <alignment horizontal="center" vertical="center"/>
    </xf>
    <xf numFmtId="9" fontId="2" fillId="0" borderId="18" xfId="5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4" xfId="0" applyFont="1" applyBorder="1">
      <alignment vertical="center"/>
    </xf>
    <xf numFmtId="0" fontId="2" fillId="6" borderId="15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2" fillId="7" borderId="15" xfId="1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/>
    </xf>
    <xf numFmtId="9" fontId="2" fillId="0" borderId="10" xfId="1" applyNumberFormat="1" applyFont="1" applyFill="1" applyBorder="1" applyAlignment="1">
      <alignment horizontal="center" vertical="center"/>
    </xf>
    <xf numFmtId="0" fontId="2" fillId="8" borderId="15" xfId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178" fontId="2" fillId="0" borderId="25" xfId="1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2" fillId="3" borderId="26" xfId="1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shrinkToFit="1"/>
    </xf>
    <xf numFmtId="9" fontId="7" fillId="0" borderId="10" xfId="0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vertical="center" shrinkToFit="1"/>
    </xf>
    <xf numFmtId="9" fontId="7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6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1" applyFont="1" applyBorder="1" applyAlignment="1">
      <alignment vertical="center" shrinkToFit="1"/>
    </xf>
    <xf numFmtId="0" fontId="7" fillId="0" borderId="9" xfId="1" applyFont="1" applyFill="1" applyBorder="1" applyAlignment="1">
      <alignment vertical="center" shrinkToFit="1"/>
    </xf>
    <xf numFmtId="0" fontId="0" fillId="0" borderId="0" xfId="0" applyAlignment="1">
      <alignment vertical="center" textRotation="255"/>
    </xf>
    <xf numFmtId="0" fontId="8" fillId="0" borderId="0" xfId="0" applyFont="1">
      <alignment vertical="center"/>
    </xf>
    <xf numFmtId="0" fontId="2" fillId="9" borderId="15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10" xfId="1" applyFont="1" applyBorder="1" applyAlignment="1">
      <alignment horizontal="center" vertical="center" shrinkToFit="1"/>
    </xf>
    <xf numFmtId="0" fontId="0" fillId="0" borderId="0" xfId="1" applyFont="1" applyFill="1" applyBorder="1" applyAlignment="1">
      <alignment shrinkToFit="1"/>
    </xf>
    <xf numFmtId="0" fontId="0" fillId="0" borderId="12" xfId="1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0" fillId="0" borderId="0" xfId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9" fontId="11" fillId="0" borderId="10" xfId="0" applyNumberFormat="1" applyFont="1" applyBorder="1" applyAlignment="1">
      <alignment horizontal="center" vertical="center" shrinkToFit="1"/>
    </xf>
    <xf numFmtId="0" fontId="0" fillId="0" borderId="9" xfId="1" applyFont="1" applyFill="1" applyBorder="1" applyAlignment="1">
      <alignment vertical="center" shrinkToFit="1"/>
    </xf>
    <xf numFmtId="9" fontId="11" fillId="0" borderId="10" xfId="1" applyNumberFormat="1" applyFont="1" applyFill="1" applyBorder="1" applyAlignment="1">
      <alignment horizontal="center" vertical="center" shrinkToFit="1"/>
    </xf>
    <xf numFmtId="0" fontId="0" fillId="0" borderId="11" xfId="1" applyFont="1" applyFill="1" applyBorder="1" applyAlignment="1">
      <alignment vertical="center" shrinkToFit="1"/>
    </xf>
    <xf numFmtId="0" fontId="0" fillId="0" borderId="13" xfId="1" applyFont="1" applyFill="1" applyBorder="1" applyAlignment="1">
      <alignment horizontal="center" vertical="center" shrinkToFit="1"/>
    </xf>
    <xf numFmtId="0" fontId="0" fillId="0" borderId="9" xfId="1" applyFont="1" applyBorder="1" applyAlignment="1">
      <alignment vertical="center" shrinkToFit="1"/>
    </xf>
    <xf numFmtId="0" fontId="0" fillId="0" borderId="9" xfId="1" applyFont="1" applyFill="1" applyBorder="1" applyAlignment="1">
      <alignment shrinkToFit="1"/>
    </xf>
    <xf numFmtId="0" fontId="0" fillId="0" borderId="10" xfId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1" xfId="7" applyFont="1" applyBorder="1" applyAlignment="1">
      <alignment horizontal="left" vertical="center" shrinkToFit="1"/>
    </xf>
    <xf numFmtId="0" fontId="0" fillId="0" borderId="9" xfId="7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9" xfId="2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1" xfId="7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2" fillId="0" borderId="9" xfId="7" applyFont="1" applyBorder="1" applyAlignment="1">
      <alignment horizontal="left" vertical="center" shrinkToFit="1"/>
    </xf>
    <xf numFmtId="0" fontId="2" fillId="0" borderId="9" xfId="7" applyFont="1" applyBorder="1" applyAlignment="1">
      <alignment horizontal="left" vertical="center" shrinkToFit="1"/>
    </xf>
    <xf numFmtId="0" fontId="2" fillId="0" borderId="44" xfId="7" applyFont="1" applyBorder="1" applyAlignment="1">
      <alignment horizontal="center" vertical="center" shrinkToFit="1"/>
    </xf>
    <xf numFmtId="0" fontId="2" fillId="0" borderId="45" xfId="7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9" xfId="2" applyFont="1" applyFill="1" applyBorder="1" applyAlignment="1">
      <alignment vertical="center" shrinkToFi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" fillId="0" borderId="1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6" fillId="4" borderId="35" xfId="0" applyNumberFormat="1" applyFont="1" applyFill="1" applyBorder="1" applyAlignment="1">
      <alignment horizontal="center" vertical="center" shrinkToFit="1"/>
    </xf>
    <xf numFmtId="180" fontId="16" fillId="4" borderId="34" xfId="0" applyNumberFormat="1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176" fontId="20" fillId="4" borderId="34" xfId="0" applyNumberFormat="1" applyFont="1" applyFill="1" applyBorder="1" applyAlignment="1">
      <alignment horizontal="center" vertical="center" shrinkToFit="1"/>
    </xf>
    <xf numFmtId="0" fontId="20" fillId="4" borderId="35" xfId="0" applyNumberFormat="1" applyFont="1" applyFill="1" applyBorder="1" applyAlignment="1">
      <alignment horizontal="center" vertical="center" shrinkToFit="1"/>
    </xf>
    <xf numFmtId="180" fontId="20" fillId="4" borderId="34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6" borderId="15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vertical="center" shrinkToFit="1"/>
    </xf>
    <xf numFmtId="0" fontId="8" fillId="0" borderId="9" xfId="0" applyFont="1" applyBorder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13" xfId="7" applyFont="1" applyBorder="1" applyAlignment="1">
      <alignment horizontal="center" vertical="center" shrinkToFit="1"/>
    </xf>
    <xf numFmtId="0" fontId="2" fillId="0" borderId="10" xfId="7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46" xfId="7" applyFont="1" applyBorder="1" applyAlignment="1">
      <alignment horizontal="center" vertical="center" shrinkToFit="1"/>
    </xf>
    <xf numFmtId="0" fontId="2" fillId="0" borderId="42" xfId="7" applyFont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left" vertical="center" shrinkToFit="1"/>
    </xf>
    <xf numFmtId="0" fontId="11" fillId="0" borderId="9" xfId="0" applyFont="1" applyFill="1" applyBorder="1">
      <alignment vertical="center"/>
    </xf>
    <xf numFmtId="9" fontId="1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9" fontId="23" fillId="0" borderId="10" xfId="0" applyNumberFormat="1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180" fontId="20" fillId="4" borderId="40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1" fillId="0" borderId="9" xfId="0" applyFont="1" applyFill="1" applyBorder="1" applyAlignment="1">
      <alignment vertical="center" shrinkToFit="1"/>
    </xf>
    <xf numFmtId="0" fontId="11" fillId="0" borderId="9" xfId="2" applyFont="1" applyBorder="1" applyAlignment="1">
      <alignment vertical="center" shrinkToFit="1"/>
    </xf>
    <xf numFmtId="0" fontId="11" fillId="0" borderId="10" xfId="2" applyFont="1" applyBorder="1" applyAlignment="1">
      <alignment horizontal="center" vertical="center" shrinkToFit="1"/>
    </xf>
    <xf numFmtId="0" fontId="11" fillId="0" borderId="9" xfId="2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78" fontId="19" fillId="4" borderId="24" xfId="0" applyNumberFormat="1" applyFont="1" applyFill="1" applyBorder="1" applyAlignment="1">
      <alignment horizontal="center" vertical="center" shrinkToFit="1"/>
    </xf>
    <xf numFmtId="178" fontId="19" fillId="4" borderId="23" xfId="0" applyNumberFormat="1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shrinkToFit="1"/>
    </xf>
    <xf numFmtId="0" fontId="31" fillId="0" borderId="48" xfId="0" applyFont="1" applyFill="1" applyBorder="1" applyAlignment="1">
      <alignment horizontal="center" vertical="center" shrinkToFit="1"/>
    </xf>
    <xf numFmtId="0" fontId="35" fillId="0" borderId="47" xfId="0" applyFont="1" applyFill="1" applyBorder="1" applyAlignment="1">
      <alignment horizontal="center" vertical="center" shrinkToFit="1"/>
    </xf>
    <xf numFmtId="0" fontId="35" fillId="0" borderId="48" xfId="0" applyFont="1" applyFill="1" applyBorder="1" applyAlignment="1">
      <alignment horizontal="center" vertical="center" shrinkToFit="1"/>
    </xf>
    <xf numFmtId="0" fontId="28" fillId="0" borderId="36" xfId="0" applyFont="1" applyFill="1" applyBorder="1" applyAlignment="1">
      <alignment horizontal="center" vertical="center" shrinkToFit="1"/>
    </xf>
    <xf numFmtId="0" fontId="28" fillId="0" borderId="37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33" fillId="0" borderId="36" xfId="3" applyFont="1" applyFill="1" applyBorder="1" applyAlignment="1">
      <alignment horizontal="center" vertical="center" wrapText="1" shrinkToFit="1"/>
    </xf>
    <xf numFmtId="0" fontId="33" fillId="0" borderId="37" xfId="3" applyFont="1" applyFill="1" applyBorder="1" applyAlignment="1">
      <alignment horizontal="center" vertical="center" wrapText="1" shrinkToFit="1"/>
    </xf>
    <xf numFmtId="0" fontId="33" fillId="0" borderId="9" xfId="3" applyFont="1" applyFill="1" applyBorder="1" applyAlignment="1">
      <alignment horizontal="center" vertical="center" wrapText="1" shrinkToFit="1"/>
    </xf>
    <xf numFmtId="0" fontId="33" fillId="0" borderId="10" xfId="3" applyFont="1" applyFill="1" applyBorder="1" applyAlignment="1">
      <alignment horizontal="center" vertical="center" wrapText="1" shrinkToFit="1"/>
    </xf>
    <xf numFmtId="0" fontId="26" fillId="0" borderId="36" xfId="3" applyFont="1" applyFill="1" applyBorder="1" applyAlignment="1">
      <alignment horizontal="center" vertical="center" wrapText="1" shrinkToFit="1"/>
    </xf>
    <xf numFmtId="0" fontId="26" fillId="0" borderId="37" xfId="3" applyFont="1" applyFill="1" applyBorder="1" applyAlignment="1">
      <alignment horizontal="center" vertical="center" wrapText="1" shrinkToFit="1"/>
    </xf>
    <xf numFmtId="0" fontId="26" fillId="0" borderId="9" xfId="3" applyFont="1" applyFill="1" applyBorder="1" applyAlignment="1">
      <alignment horizontal="center" vertical="center" wrapText="1" shrinkToFit="1"/>
    </xf>
    <xf numFmtId="0" fontId="26" fillId="0" borderId="10" xfId="3" applyFont="1" applyFill="1" applyBorder="1" applyAlignment="1">
      <alignment horizontal="center" vertical="center" wrapText="1" shrinkToFit="1"/>
    </xf>
    <xf numFmtId="0" fontId="24" fillId="0" borderId="9" xfId="3" applyFont="1" applyFill="1" applyBorder="1" applyAlignment="1">
      <alignment horizontal="center" vertical="center" shrinkToFit="1"/>
    </xf>
    <xf numFmtId="0" fontId="24" fillId="0" borderId="10" xfId="3" applyFont="1" applyFill="1" applyBorder="1" applyAlignment="1">
      <alignment horizontal="center" vertical="center" shrinkToFit="1"/>
    </xf>
    <xf numFmtId="0" fontId="36" fillId="0" borderId="9" xfId="3" applyFont="1" applyFill="1" applyBorder="1" applyAlignment="1">
      <alignment horizontal="center" vertical="center" shrinkToFit="1"/>
    </xf>
    <xf numFmtId="0" fontId="36" fillId="0" borderId="10" xfId="3" applyFont="1" applyFill="1" applyBorder="1" applyAlignment="1">
      <alignment horizontal="center" vertical="center" shrinkToFit="1"/>
    </xf>
    <xf numFmtId="0" fontId="31" fillId="0" borderId="9" xfId="3" applyFont="1" applyFill="1" applyBorder="1" applyAlignment="1">
      <alignment horizontal="center" vertical="center" shrinkToFit="1"/>
    </xf>
    <xf numFmtId="0" fontId="31" fillId="0" borderId="10" xfId="3" applyFont="1" applyFill="1" applyBorder="1" applyAlignment="1">
      <alignment horizontal="center" vertical="center" shrinkToFit="1"/>
    </xf>
    <xf numFmtId="0" fontId="36" fillId="14" borderId="9" xfId="3" applyFont="1" applyFill="1" applyBorder="1" applyAlignment="1">
      <alignment horizontal="center" vertical="center" shrinkToFit="1"/>
    </xf>
    <xf numFmtId="0" fontId="36" fillId="14" borderId="10" xfId="3" applyFont="1" applyFill="1" applyBorder="1" applyAlignment="1">
      <alignment horizontal="center" vertical="center" shrinkToFit="1"/>
    </xf>
    <xf numFmtId="0" fontId="25" fillId="0" borderId="9" xfId="3" applyFont="1" applyFill="1" applyBorder="1" applyAlignment="1">
      <alignment horizontal="center" vertical="center" shrinkToFit="1"/>
    </xf>
    <xf numFmtId="0" fontId="25" fillId="0" borderId="10" xfId="3" applyFont="1" applyFill="1" applyBorder="1" applyAlignment="1">
      <alignment horizontal="center" vertical="center" shrinkToFit="1"/>
    </xf>
    <xf numFmtId="0" fontId="37" fillId="0" borderId="9" xfId="3" applyFont="1" applyFill="1" applyBorder="1" applyAlignment="1">
      <alignment horizontal="center" vertical="center" shrinkToFit="1"/>
    </xf>
    <xf numFmtId="0" fontId="37" fillId="0" borderId="10" xfId="3" applyFont="1" applyFill="1" applyBorder="1" applyAlignment="1">
      <alignment horizontal="center" vertical="center" shrinkToFit="1"/>
    </xf>
    <xf numFmtId="0" fontId="36" fillId="0" borderId="47" xfId="3" applyFont="1" applyFill="1" applyBorder="1" applyAlignment="1">
      <alignment horizontal="center" vertical="center" shrinkToFit="1"/>
    </xf>
    <xf numFmtId="0" fontId="36" fillId="0" borderId="48" xfId="3" applyFont="1" applyFill="1" applyBorder="1" applyAlignment="1">
      <alignment horizontal="center" vertical="center" shrinkToFit="1"/>
    </xf>
    <xf numFmtId="178" fontId="30" fillId="4" borderId="2" xfId="0" applyNumberFormat="1" applyFont="1" applyFill="1" applyBorder="1" applyAlignment="1">
      <alignment horizontal="center" vertical="center" shrinkToFit="1"/>
    </xf>
    <xf numFmtId="178" fontId="30" fillId="4" borderId="31" xfId="0" applyNumberFormat="1" applyFont="1" applyFill="1" applyBorder="1" applyAlignment="1">
      <alignment horizontal="center" vertical="center" shrinkToFit="1"/>
    </xf>
    <xf numFmtId="178" fontId="19" fillId="4" borderId="38" xfId="0" applyNumberFormat="1" applyFont="1" applyFill="1" applyBorder="1" applyAlignment="1">
      <alignment horizontal="center" vertical="center" shrinkToFit="1"/>
    </xf>
    <xf numFmtId="178" fontId="19" fillId="4" borderId="39" xfId="0" applyNumberFormat="1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4" fillId="0" borderId="36" xfId="3" applyFont="1" applyFill="1" applyBorder="1" applyAlignment="1">
      <alignment horizontal="center" vertical="center" wrapText="1" shrinkToFit="1"/>
    </xf>
    <xf numFmtId="0" fontId="34" fillId="0" borderId="37" xfId="3" applyFont="1" applyFill="1" applyBorder="1" applyAlignment="1">
      <alignment horizontal="center" vertical="center" wrapText="1" shrinkToFit="1"/>
    </xf>
    <xf numFmtId="0" fontId="34" fillId="0" borderId="9" xfId="3" applyFont="1" applyFill="1" applyBorder="1" applyAlignment="1">
      <alignment horizontal="center" vertical="center" wrapText="1" shrinkToFit="1"/>
    </xf>
    <xf numFmtId="0" fontId="34" fillId="0" borderId="10" xfId="3" applyFont="1" applyFill="1" applyBorder="1" applyAlignment="1">
      <alignment horizontal="center" vertical="center" wrapText="1" shrinkToFit="1"/>
    </xf>
    <xf numFmtId="0" fontId="32" fillId="0" borderId="36" xfId="3" applyFont="1" applyFill="1" applyBorder="1" applyAlignment="1">
      <alignment horizontal="center" vertical="center" wrapText="1" shrinkToFit="1"/>
    </xf>
    <xf numFmtId="0" fontId="32" fillId="0" borderId="37" xfId="3" applyFont="1" applyFill="1" applyBorder="1" applyAlignment="1">
      <alignment horizontal="center" vertical="center" wrapText="1" shrinkToFit="1"/>
    </xf>
    <xf numFmtId="0" fontId="32" fillId="0" borderId="9" xfId="3" applyFont="1" applyFill="1" applyBorder="1" applyAlignment="1">
      <alignment horizontal="center" vertical="center" wrapText="1" shrinkToFit="1"/>
    </xf>
    <xf numFmtId="0" fontId="32" fillId="0" borderId="10" xfId="3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/>
    </xf>
    <xf numFmtId="0" fontId="21" fillId="13" borderId="11" xfId="0" applyNumberFormat="1" applyFont="1" applyFill="1" applyBorder="1" applyAlignment="1">
      <alignment horizontal="center"/>
    </xf>
    <xf numFmtId="0" fontId="21" fillId="13" borderId="12" xfId="0" applyNumberFormat="1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11" borderId="0" xfId="0" applyFont="1" applyFill="1" applyAlignment="1">
      <alignment horizontal="left" vertical="center" wrapText="1"/>
    </xf>
    <xf numFmtId="0" fontId="0" fillId="11" borderId="0" xfId="0" applyFont="1" applyFill="1" applyAlignment="1">
      <alignment horizontal="left" vertical="center" wrapText="1"/>
    </xf>
    <xf numFmtId="0" fontId="7" fillId="12" borderId="0" xfId="0" applyFont="1" applyFill="1" applyAlignment="1">
      <alignment horizontal="left" vertical="center" wrapText="1"/>
    </xf>
    <xf numFmtId="0" fontId="22" fillId="11" borderId="0" xfId="0" applyFont="1" applyFill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0" fillId="0" borderId="14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center" vertical="center" textRotation="255" shrinkToFit="1"/>
    </xf>
    <xf numFmtId="0" fontId="1" fillId="10" borderId="2" xfId="0" applyFont="1" applyFill="1" applyBorder="1" applyAlignment="1">
      <alignment horizontal="center" vertical="center" shrinkToFit="1"/>
    </xf>
    <xf numFmtId="0" fontId="1" fillId="10" borderId="32" xfId="0" applyFont="1" applyFill="1" applyBorder="1" applyAlignment="1">
      <alignment horizontal="center" vertical="center" shrinkToFit="1"/>
    </xf>
    <xf numFmtId="0" fontId="0" fillId="10" borderId="2" xfId="0" applyFont="1" applyFill="1" applyBorder="1" applyAlignment="1">
      <alignment horizontal="center" vertical="center" shrinkToFit="1"/>
    </xf>
    <xf numFmtId="0" fontId="0" fillId="10" borderId="31" xfId="0" applyFont="1" applyFill="1" applyBorder="1" applyAlignment="1">
      <alignment horizontal="center" vertical="center" shrinkToFit="1"/>
    </xf>
    <xf numFmtId="0" fontId="0" fillId="10" borderId="2" xfId="0" applyFill="1" applyBorder="1" applyAlignment="1">
      <alignment horizontal="center" vertical="center" shrinkToFit="1"/>
    </xf>
    <xf numFmtId="0" fontId="1" fillId="10" borderId="31" xfId="0" applyFont="1" applyFill="1" applyBorder="1" applyAlignment="1">
      <alignment horizontal="center" vertical="center" shrinkToFit="1"/>
    </xf>
    <xf numFmtId="0" fontId="0" fillId="10" borderId="31" xfId="0" applyFill="1" applyBorder="1" applyAlignment="1">
      <alignment horizontal="center" vertical="center" shrinkToFit="1"/>
    </xf>
    <xf numFmtId="0" fontId="2" fillId="10" borderId="2" xfId="0" applyFont="1" applyFill="1" applyBorder="1" applyAlignment="1">
      <alignment horizontal="center" vertical="center" shrinkToFit="1"/>
    </xf>
    <xf numFmtId="0" fontId="2" fillId="10" borderId="3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10" borderId="2" xfId="0" applyFont="1" applyFill="1" applyBorder="1" applyAlignment="1">
      <alignment horizontal="center" vertical="center" shrinkToFit="1"/>
    </xf>
    <xf numFmtId="0" fontId="11" fillId="10" borderId="31" xfId="0" applyFont="1" applyFill="1" applyBorder="1" applyAlignment="1">
      <alignment horizontal="center" vertical="center" shrinkToFit="1"/>
    </xf>
    <xf numFmtId="0" fontId="0" fillId="10" borderId="3" xfId="0" applyFill="1" applyBorder="1" applyAlignment="1">
      <alignment horizontal="center" vertical="center" shrinkToFit="1"/>
    </xf>
    <xf numFmtId="0" fontId="0" fillId="10" borderId="3" xfId="0" applyFont="1" applyFill="1" applyBorder="1" applyAlignment="1">
      <alignment horizontal="center" vertical="center" shrinkToFit="1"/>
    </xf>
    <xf numFmtId="0" fontId="0" fillId="10" borderId="32" xfId="0" applyFill="1" applyBorder="1" applyAlignment="1">
      <alignment horizontal="center" vertical="center" shrinkToFit="1"/>
    </xf>
    <xf numFmtId="0" fontId="0" fillId="0" borderId="2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2" fillId="10" borderId="3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right" vertical="center"/>
    </xf>
  </cellXfs>
  <cellStyles count="8">
    <cellStyle name="一般" xfId="0" builtinId="0"/>
    <cellStyle name="一般 2" xfId="1"/>
    <cellStyle name="一般 2 2" xfId="2"/>
    <cellStyle name="一般_東平小11月份菜單(改)" xfId="3"/>
    <cellStyle name="一般_新光國小-8.9月菜單" xfId="7"/>
    <cellStyle name="好_新平國小107年9月菜單(貝佳)" xfId="4"/>
    <cellStyle name="百分比 2" xfId="5"/>
    <cellStyle name="貨幣 2" xfId="6"/>
  </cellStyles>
  <dxfs count="0"/>
  <tableStyles count="0" defaultTableStyle="TableStyleMedium9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NUL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134471</xdr:colOff>
      <xdr:row>0</xdr:row>
      <xdr:rowOff>11207</xdr:rowOff>
    </xdr:from>
    <xdr:to>
      <xdr:col>11</xdr:col>
      <xdr:colOff>0</xdr:colOff>
      <xdr:row>0</xdr:row>
      <xdr:rowOff>1321136</xdr:rowOff>
    </xdr:to>
    <xdr:grpSp>
      <xdr:nvGrpSpPr>
        <xdr:cNvPr id="2" name="群組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34471" y="11207"/>
          <a:ext cx="12758527" cy="1309929"/>
          <a:chOff x="14050469" y="2044924"/>
          <a:chExt cx="10766167" cy="912682"/>
        </a:xfrm>
      </xdr:grpSpPr>
      <xdr:sp macro="" textlink="">
        <xdr:nvSpPr>
          <xdr:cNvPr id="3" name="矩形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4050469" y="2044924"/>
            <a:ext cx="3484952" cy="906810"/>
          </a:xfrm>
          <a:prstGeom prst="rect">
            <a:avLst/>
          </a:prstGeom>
          <a:noFill/>
        </xdr:spPr>
        <xdr:txBody>
          <a:bodyPr wrap="square" lIns="91440" tIns="45720" rIns="91440" bIns="45720">
            <a:prstTxWarp prst="textPlain">
              <a:avLst/>
            </a:prstTxWarp>
            <a:spAutoFit/>
          </a:bodyPr>
          <a:lstStyle/>
          <a:p>
            <a:pPr algn="l"/>
            <a:r>
              <a:rPr lang="zh-TW" altLang="en-US" sz="2400" b="0" cap="none" spc="300">
                <a:ln w="11430" cmpd="sng">
                  <a:solidFill>
                    <a:schemeClr val="accent1">
                      <a:tint val="10000"/>
                    </a:schemeClr>
                  </a:solidFill>
                  <a:prstDash val="solid"/>
                  <a:miter lim="800000"/>
                </a:ln>
                <a:gradFill>
                  <a:gsLst>
                    <a:gs pos="10000">
                      <a:schemeClr val="accent1">
                        <a:tint val="83000"/>
                        <a:shade val="100000"/>
                        <a:satMod val="200000"/>
                      </a:schemeClr>
                    </a:gs>
                    <a:gs pos="75000">
                      <a:schemeClr val="accent1">
                        <a:tint val="100000"/>
                        <a:shade val="50000"/>
                        <a:satMod val="150000"/>
                      </a:schemeClr>
                    </a:gs>
                  </a:gsLst>
                  <a:lin ang="5400000"/>
                </a:gradFill>
                <a:effectLst>
                  <a:glow rad="45500">
                    <a:schemeClr val="accent1">
                      <a:satMod val="220000"/>
                      <a:alpha val="35000"/>
                    </a:schemeClr>
                  </a:glow>
                </a:effectLst>
                <a:latin typeface="華康超圓體(P)" pitchFamily="34" charset="-120"/>
                <a:ea typeface="華康超圓體(P)" pitchFamily="34" charset="-120"/>
              </a:rPr>
              <a:t>興大附農</a:t>
            </a:r>
          </a:p>
        </xdr:txBody>
      </xdr:sp>
      <xdr:sp macro="" textlink="">
        <xdr:nvSpPr>
          <xdr:cNvPr id="4" name="矩形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7920818" y="2110444"/>
            <a:ext cx="4168068" cy="406037"/>
          </a:xfrm>
          <a:prstGeom prst="rect">
            <a:avLst/>
          </a:prstGeom>
          <a:noFill/>
        </xdr:spPr>
        <xdr:txBody>
          <a:bodyPr wrap="square" lIns="91440" tIns="45720" rIns="91440" bIns="45720">
            <a:prstTxWarp prst="textPlain">
              <a:avLst/>
            </a:prstTxWarp>
            <a:noAutofit/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zh-TW" altLang="en-US" sz="1800" b="0" cap="none" spc="50">
                <a:ln w="11430">
                  <a:solidFill>
                    <a:schemeClr val="tx1"/>
                  </a:solidFill>
                </a:ln>
                <a:solidFill>
                  <a:srgbClr val="FF0000"/>
                </a:solidFill>
                <a:effectLst/>
                <a:latin typeface="華康超圓體(P)" pitchFamily="34" charset="-120"/>
                <a:ea typeface="華康超圓體(P)" pitchFamily="34" charset="-120"/>
              </a:rPr>
              <a:t>貝佳實業有限公司</a:t>
            </a:r>
            <a:endParaRPr lang="zh-TW" altLang="en-US" sz="18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endParaRPr>
          </a:p>
        </xdr:txBody>
      </xdr:sp>
      <xdr:pic>
        <xdr:nvPicPr>
          <xdr:cNvPr id="5" name="圖片 4" descr="HACCP.png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2621914" y="2102407"/>
            <a:ext cx="745926" cy="3981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圖片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23493152" y="2200734"/>
            <a:ext cx="1323484" cy="584688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pic>
        <xdr:nvPicPr>
          <xdr:cNvPr id="7" name="圖片 6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5932" t="6356" r="4662" b="7627"/>
          <a:stretch/>
        </xdr:blipFill>
        <xdr:spPr>
          <a:xfrm>
            <a:off x="22672723" y="2502706"/>
            <a:ext cx="756368" cy="4549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403714</xdr:colOff>
      <xdr:row>0</xdr:row>
      <xdr:rowOff>762899</xdr:rowOff>
    </xdr:from>
    <xdr:to>
      <xdr:col>8</xdr:col>
      <xdr:colOff>964007</xdr:colOff>
      <xdr:row>0</xdr:row>
      <xdr:rowOff>1296691</xdr:rowOff>
    </xdr:to>
    <xdr:sp macro="" textlink="">
      <xdr:nvSpPr>
        <xdr:cNvPr id="8" name="矩形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4421532" y="762899"/>
          <a:ext cx="5651839" cy="533792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>
              <a:gd name="adj" fmla="val 49621"/>
            </a:avLst>
          </a:prstTxWarp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zh-TW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109</a:t>
          </a:r>
          <a:r>
            <a:rPr lang="zh-TW" altLang="en-US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年</a:t>
          </a:r>
          <a:r>
            <a:rPr lang="en-US" altLang="zh-TW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3</a:t>
          </a:r>
          <a:r>
            <a:rPr lang="zh-TW" altLang="en-US" sz="1600" b="0" cap="none" spc="50">
              <a:ln w="11430"/>
              <a:solidFill>
                <a:schemeClr val="tx1"/>
              </a:solidFill>
              <a:effectLst/>
              <a:latin typeface="華康超圓體(P)" pitchFamily="34" charset="-120"/>
              <a:ea typeface="華康超圓體(P)" pitchFamily="34" charset="-120"/>
            </a:rPr>
            <a:t>月午餐菜單</a:t>
          </a:r>
        </a:p>
      </xdr:txBody>
    </xdr:sp>
    <xdr:clientData/>
  </xdr:twoCellAnchor>
  <xdr:twoCellAnchor editAs="oneCell">
    <xdr:from>
      <xdr:col>5</xdr:col>
      <xdr:colOff>404092</xdr:colOff>
      <xdr:row>46</xdr:row>
      <xdr:rowOff>181916</xdr:rowOff>
    </xdr:from>
    <xdr:to>
      <xdr:col>7</xdr:col>
      <xdr:colOff>1029286</xdr:colOff>
      <xdr:row>55</xdr:row>
      <xdr:rowOff>46182</xdr:rowOff>
    </xdr:to>
    <xdr:pic>
      <xdr:nvPicPr>
        <xdr:cNvPr id="10" name="圖片 9" descr="相關圖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22637" y="17430825"/>
          <a:ext cx="3165194" cy="2877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274205</xdr:colOff>
      <xdr:row>46</xdr:row>
      <xdr:rowOff>226954</xdr:rowOff>
    </xdr:from>
    <xdr:to>
      <xdr:col>10</xdr:col>
      <xdr:colOff>1053523</xdr:colOff>
      <xdr:row>55</xdr:row>
      <xdr:rowOff>189377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91932" y="17184340"/>
          <a:ext cx="3607955" cy="3007537"/>
        </a:xfrm>
        <a:prstGeom prst="rect">
          <a:avLst/>
        </a:prstGeom>
      </xdr:spPr>
    </xdr:pic>
    <xdr:clientData/>
  </xdr:twoCellAnchor>
  <xdr:oneCellAnchor>
    <xdr:from>
      <xdr:col>9</xdr:col>
      <xdr:colOff>430136</xdr:colOff>
      <xdr:row>2</xdr:row>
      <xdr:rowOff>58803</xdr:rowOff>
    </xdr:from>
    <xdr:ext cx="1832773" cy="2226315"/>
    <xdr:sp macro="" textlink="">
      <xdr:nvSpPr>
        <xdr:cNvPr id="13" name="矩形 12"/>
        <xdr:cNvSpPr/>
      </xdr:nvSpPr>
      <xdr:spPr>
        <a:xfrm>
          <a:off x="10543954" y="1686712"/>
          <a:ext cx="1832773" cy="222631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zh-TW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華康娃娃體" pitchFamily="81" charset="-120"/>
              <a:ea typeface="華康娃娃體" pitchFamily="81" charset="-120"/>
            </a:rPr>
            <a:t>228</a:t>
          </a:r>
          <a:r>
            <a:rPr lang="zh-TW" altLang="en-US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華康娃娃體" pitchFamily="81" charset="-120"/>
              <a:ea typeface="華康娃娃體" pitchFamily="81" charset="-120"/>
            </a:rPr>
            <a:t>  </a:t>
          </a:r>
          <a:r>
            <a:rPr lang="zh-TW" altLang="en-US" sz="4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華康娃娃體" pitchFamily="81" charset="-120"/>
              <a:ea typeface="華康娃娃體" pitchFamily="81" charset="-120"/>
            </a:rPr>
            <a:t>和平</a:t>
          </a:r>
          <a:endParaRPr lang="en-US" altLang="zh-TW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華康娃娃體" pitchFamily="81" charset="-120"/>
            <a:ea typeface="華康娃娃體" pitchFamily="81" charset="-120"/>
          </a:endParaRPr>
        </a:p>
        <a:p>
          <a:pPr algn="ctr"/>
          <a:r>
            <a:rPr lang="zh-TW" altLang="en-US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華康娃娃體" pitchFamily="81" charset="-120"/>
              <a:ea typeface="華康娃娃體" pitchFamily="81" charset="-120"/>
            </a:rPr>
            <a:t>紀念日</a:t>
          </a:r>
        </a:p>
      </xdr:txBody>
    </xdr:sp>
    <xdr:clientData/>
  </xdr:oneCellAnchor>
  <xdr:twoCellAnchor editAs="oneCell">
    <xdr:from>
      <xdr:col>1</xdr:col>
      <xdr:colOff>34637</xdr:colOff>
      <xdr:row>2</xdr:row>
      <xdr:rowOff>23090</xdr:rowOff>
    </xdr:from>
    <xdr:to>
      <xdr:col>2</xdr:col>
      <xdr:colOff>1399887</xdr:colOff>
      <xdr:row>9</xdr:row>
      <xdr:rowOff>230910</xdr:rowOff>
    </xdr:to>
    <xdr:pic>
      <xdr:nvPicPr>
        <xdr:cNvPr id="16" name="圖片 15" descr="「寒假」的圖片搜尋結果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137" y="1639454"/>
          <a:ext cx="2779568" cy="2834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103909</xdr:colOff>
      <xdr:row>7</xdr:row>
      <xdr:rowOff>184727</xdr:rowOff>
    </xdr:from>
    <xdr:to>
      <xdr:col>10</xdr:col>
      <xdr:colOff>1162604</xdr:colOff>
      <xdr:row>10</xdr:row>
      <xdr:rowOff>51746</xdr:rowOff>
    </xdr:to>
    <xdr:pic>
      <xdr:nvPicPr>
        <xdr:cNvPr id="17" name="圖片 16" descr="「放假 圖」的圖片搜尋結果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 xmlns="">
                <a14:imgLayer r:embed="rId8">
                  <a14:imgEffect>
                    <a14:backgroundRemoval t="0" b="100000" l="8837" r="89186">
                      <a14:foregroundMark x1="31395" y1="24949" x2="31395" y2="24949"/>
                      <a14:foregroundMark x1="28721" y1="25558" x2="28721" y2="25558"/>
                      <a14:foregroundMark x1="18023" y1="23529" x2="18023" y2="23529"/>
                      <a14:foregroundMark x1="20698" y1="24746" x2="20698" y2="24746"/>
                      <a14:foregroundMark x1="27558" y1="29615" x2="27558" y2="29615"/>
                      <a14:foregroundMark x1="19186" y1="73834" x2="19186" y2="73834"/>
                      <a14:foregroundMark x1="20233" y1="72414" x2="20233" y2="72414"/>
                      <a14:foregroundMark x1="22791" y1="78296" x2="22791" y2="78296"/>
                      <a14:foregroundMark x1="22209" y1="77890" x2="22209" y2="77890"/>
                      <a14:foregroundMark x1="29419" y1="25963" x2="29419" y2="25963"/>
                      <a14:foregroundMark x1="41395" y1="43205" x2="41395" y2="43205"/>
                      <a14:foregroundMark x1="40000" y1="73022" x2="40000" y2="73022"/>
                      <a14:foregroundMark x1="62907" y1="74037" x2="62907" y2="74037"/>
                      <a14:foregroundMark x1="60930" y1="72617" x2="60930" y2="72617"/>
                      <a14:foregroundMark x1="66512" y1="76673" x2="66512" y2="76673"/>
                      <a14:foregroundMark x1="67907" y1="76268" x2="67907" y2="76268"/>
                      <a14:foregroundMark x1="68488" y1="75862" x2="68488" y2="75862"/>
                      <a14:foregroundMark x1="57093" y1="71805" x2="57093" y2="71805"/>
                      <a14:foregroundMark x1="59070" y1="71805" x2="59070" y2="71805"/>
                      <a14:foregroundMark x1="68372" y1="24949" x2="68372" y2="24949"/>
                      <a14:foregroundMark x1="69070" y1="26166" x2="69070" y2="26166"/>
                      <a14:foregroundMark x1="74070" y1="23935" x2="74070" y2="23935"/>
                      <a14:foregroundMark x1="74070" y1="21907" x2="74070" y2="21907"/>
                      <a14:foregroundMark x1="72674" y1="23935" x2="72674" y2="23935"/>
                      <a14:foregroundMark x1="67209" y1="29817" x2="67209" y2="29817"/>
                      <a14:foregroundMark x1="63605" y1="32860" x2="63605" y2="32860"/>
                      <a14:foregroundMark x1="62674" y1="33063" x2="62674" y2="33063"/>
                      <a14:foregroundMark x1="23837" y1="78093" x2="23837" y2="78093"/>
                      <a14:foregroundMark x1="23488" y1="77079" x2="23488" y2="77079"/>
                      <a14:foregroundMark x1="21163" y1="78905" x2="21163" y2="78905"/>
                      <a14:foregroundMark x1="67093" y1="50507" x2="67093" y2="50507"/>
                      <a14:foregroundMark x1="75349" y1="43813" x2="75349" y2="43813"/>
                      <a14:foregroundMark x1="76163" y1="38742" x2="76163" y2="38742"/>
                      <a14:foregroundMark x1="75698" y1="49087" x2="75698" y2="49087"/>
                      <a14:foregroundMark x1="74070" y1="58012" x2="74302" y2="58418"/>
                      <a14:foregroundMark x1="72674" y1="49087" x2="72674" y2="49087"/>
                      <a14:foregroundMark x1="78837" y1="40771" x2="78837" y2="40771"/>
                      <a14:foregroundMark x1="84535" y1="41176" x2="84535" y2="41176"/>
                      <a14:foregroundMark x1="84535" y1="60446" x2="84535" y2="60446"/>
                      <a14:foregroundMark x1="82442" y1="62880" x2="82209" y2="63489"/>
                      <a14:foregroundMark x1="79070" y1="32454" x2="79070" y2="32454"/>
                      <a14:foregroundMark x1="83372" y1="33469" x2="83372" y2="33469"/>
                      <a14:foregroundMark x1="80698" y1="28195" x2="80698" y2="28195"/>
                      <a14:foregroundMark x1="80930" y1="29615" x2="80930" y2="29615"/>
                      <a14:foregroundMark x1="80116" y1="26978" x2="80116" y2="26978"/>
                      <a14:foregroundMark x1="72558" y1="41176" x2="72558" y2="41176"/>
                      <a14:foregroundMark x1="77674" y1="50101" x2="77674" y2="50101"/>
                      <a14:foregroundMark x1="64651" y1="75659" x2="64651" y2="75659"/>
                      <a14:foregroundMark x1="85581" y1="44422" x2="85581" y2="44422"/>
                      <a14:foregroundMark x1="84419" y1="46247" x2="84419" y2="46247"/>
                      <a14:foregroundMark x1="69070" y1="52130" x2="69070" y2="52130"/>
                      <a14:foregroundMark x1="56047" y1="71805" x2="56047" y2="71805"/>
                      <a14:foregroundMark x1="31395" y1="25152" x2="31395" y2="25152"/>
                      <a14:foregroundMark x1="32209" y1="23935" x2="32209" y2="23935"/>
                      <a14:foregroundMark x1="33023" y1="23529" x2="33023" y2="23529"/>
                      <a14:foregroundMark x1="27907" y1="28398" x2="27907" y2="28398"/>
                      <a14:foregroundMark x1="20000" y1="74442" x2="20000" y2="74442"/>
                      <a14:foregroundMark x1="22093" y1="70994" x2="22093" y2="70994"/>
                      <a14:foregroundMark x1="71628" y1="25152" x2="71628" y2="25152"/>
                      <a14:foregroundMark x1="70349" y1="25963" x2="70349" y2="25963"/>
                      <a14:foregroundMark x1="65814" y1="31237" x2="65814" y2="31237"/>
                      <a14:foregroundMark x1="64884" y1="31237" x2="64884" y2="31237"/>
                      <a14:foregroundMark x1="68953" y1="27789" x2="68953" y2="27789"/>
                      <a14:foregroundMark x1="68256" y1="27789" x2="68256" y2="2778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 l="8139" t="17242" r="11164" b="18256"/>
        <a:stretch/>
      </xdr:blipFill>
      <xdr:spPr bwMode="auto">
        <a:xfrm>
          <a:off x="10217727" y="3717636"/>
          <a:ext cx="2328695" cy="883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G/&#33406;&#29801;/&#22283;&#39640;&#20013;&#33756;&#21934;/109&#24180;2&#26376;/&#39640;&#20013;/109&#33288;&#22823;&#38468;&#36786;2&#26376;&#21320;&#39184;&#33756;&#21934;(&#35997;&#2033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菜單 國中蔬食日 "/>
      <sheetName val="2月明細(午餐)"/>
    </sheetNames>
    <sheetDataSet>
      <sheetData sheetId="0"/>
      <sheetData sheetId="1">
        <row r="94">
          <cell r="W94" t="str">
            <v>蛋白質g：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="66" zoomScaleNormal="85" zoomScaleSheetLayoutView="66" workbookViewId="0">
      <selection activeCell="K38" sqref="K38"/>
    </sheetView>
  </sheetViews>
  <sheetFormatPr defaultRowHeight="15.6"/>
  <cols>
    <col min="1" max="1" width="4.09765625" customWidth="1"/>
    <col min="2" max="11" width="18.5" customWidth="1"/>
  </cols>
  <sheetData>
    <row r="1" spans="1:11" ht="108" customHeight="1" thickBo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135" customFormat="1" ht="19.899999999999999" customHeight="1">
      <c r="A2" s="185" t="s">
        <v>317</v>
      </c>
      <c r="B2" s="142">
        <v>43885</v>
      </c>
      <c r="C2" s="143" t="s">
        <v>443</v>
      </c>
      <c r="D2" s="144">
        <f>B2+1</f>
        <v>43886</v>
      </c>
      <c r="E2" s="143" t="s">
        <v>444</v>
      </c>
      <c r="F2" s="144">
        <f>D2+1</f>
        <v>43887</v>
      </c>
      <c r="G2" s="143" t="s">
        <v>445</v>
      </c>
      <c r="H2" s="144">
        <f>F2+1</f>
        <v>43888</v>
      </c>
      <c r="I2" s="143" t="s">
        <v>446</v>
      </c>
      <c r="J2" s="144">
        <f>H2+1</f>
        <v>43889</v>
      </c>
      <c r="K2" s="143" t="s">
        <v>447</v>
      </c>
    </row>
    <row r="3" spans="1:11" s="136" customFormat="1" ht="29.95" customHeight="1">
      <c r="A3" s="186"/>
      <c r="B3" s="188"/>
      <c r="C3" s="189"/>
      <c r="D3" s="190" t="s">
        <v>440</v>
      </c>
      <c r="E3" s="191"/>
      <c r="F3" s="190" t="s">
        <v>402</v>
      </c>
      <c r="G3" s="191"/>
      <c r="H3" s="190" t="s">
        <v>348</v>
      </c>
      <c r="I3" s="191"/>
      <c r="J3" s="192"/>
      <c r="K3" s="193"/>
    </row>
    <row r="4" spans="1:11" s="136" customFormat="1" ht="29.95" customHeight="1">
      <c r="A4" s="186"/>
      <c r="B4" s="198"/>
      <c r="C4" s="199"/>
      <c r="D4" s="202" t="s">
        <v>325</v>
      </c>
      <c r="E4" s="203"/>
      <c r="F4" s="202" t="s">
        <v>487</v>
      </c>
      <c r="G4" s="203"/>
      <c r="H4" s="202" t="s">
        <v>326</v>
      </c>
      <c r="I4" s="203"/>
      <c r="J4" s="194"/>
      <c r="K4" s="195"/>
    </row>
    <row r="5" spans="1:11" s="136" customFormat="1" ht="29.95" customHeight="1">
      <c r="A5" s="186"/>
      <c r="B5" s="200"/>
      <c r="C5" s="201"/>
      <c r="D5" s="204"/>
      <c r="E5" s="205"/>
      <c r="F5" s="204" t="s">
        <v>327</v>
      </c>
      <c r="G5" s="205"/>
      <c r="H5" s="204" t="s">
        <v>318</v>
      </c>
      <c r="I5" s="205"/>
      <c r="J5" s="194"/>
      <c r="K5" s="195"/>
    </row>
    <row r="6" spans="1:11" s="136" customFormat="1" ht="29.95" customHeight="1">
      <c r="A6" s="186"/>
      <c r="B6" s="206"/>
      <c r="C6" s="207"/>
      <c r="D6" s="208" t="s">
        <v>328</v>
      </c>
      <c r="E6" s="209"/>
      <c r="F6" s="208" t="s">
        <v>329</v>
      </c>
      <c r="G6" s="209"/>
      <c r="H6" s="208" t="s">
        <v>330</v>
      </c>
      <c r="I6" s="209"/>
      <c r="J6" s="194"/>
      <c r="K6" s="195"/>
    </row>
    <row r="7" spans="1:11" s="136" customFormat="1" ht="29.95" customHeight="1">
      <c r="A7" s="186"/>
      <c r="B7" s="210"/>
      <c r="C7" s="211"/>
      <c r="D7" s="208" t="s">
        <v>331</v>
      </c>
      <c r="E7" s="209"/>
      <c r="F7" s="208" t="s">
        <v>332</v>
      </c>
      <c r="G7" s="209"/>
      <c r="H7" s="212" t="s">
        <v>469</v>
      </c>
      <c r="I7" s="213"/>
      <c r="J7" s="194"/>
      <c r="K7" s="195"/>
    </row>
    <row r="8" spans="1:11" s="136" customFormat="1" ht="29.95" customHeight="1">
      <c r="A8" s="186"/>
      <c r="B8" s="214"/>
      <c r="C8" s="215"/>
      <c r="D8" s="216" t="s">
        <v>333</v>
      </c>
      <c r="E8" s="217"/>
      <c r="F8" s="216" t="s">
        <v>334</v>
      </c>
      <c r="G8" s="217"/>
      <c r="H8" s="216" t="s">
        <v>335</v>
      </c>
      <c r="I8" s="217"/>
      <c r="J8" s="194"/>
      <c r="K8" s="195"/>
    </row>
    <row r="9" spans="1:11" s="136" customFormat="1" ht="29.95" customHeight="1" thickBot="1">
      <c r="A9" s="187"/>
      <c r="B9" s="206"/>
      <c r="C9" s="207"/>
      <c r="D9" s="208" t="s">
        <v>336</v>
      </c>
      <c r="E9" s="209"/>
      <c r="F9" s="218" t="s">
        <v>337</v>
      </c>
      <c r="G9" s="219"/>
      <c r="H9" s="218" t="s">
        <v>338</v>
      </c>
      <c r="I9" s="219"/>
      <c r="J9" s="194"/>
      <c r="K9" s="195"/>
    </row>
    <row r="10" spans="1:11" s="135" customFormat="1" ht="19.899999999999999" customHeight="1" thickBot="1">
      <c r="A10" s="171" t="s">
        <v>319</v>
      </c>
      <c r="B10" s="220" t="str">
        <f>'[1]2月明細(午餐)'!W94</f>
        <v>蛋白質g：</v>
      </c>
      <c r="C10" s="221"/>
      <c r="D10" s="222">
        <f>'2、3月明細(午餐)'!W18</f>
        <v>851.75956709956699</v>
      </c>
      <c r="E10" s="223"/>
      <c r="F10" s="183">
        <f>'2、3月明細(午餐)'!W26</f>
        <v>863.37857142857138</v>
      </c>
      <c r="G10" s="184"/>
      <c r="H10" s="183">
        <f>'2、3月明細(午餐)'!W34</f>
        <v>857.78337662337663</v>
      </c>
      <c r="I10" s="184"/>
      <c r="J10" s="196"/>
      <c r="K10" s="197"/>
    </row>
    <row r="11" spans="1:11" s="135" customFormat="1" ht="19.899999999999999" customHeight="1">
      <c r="A11" s="224" t="s">
        <v>261</v>
      </c>
      <c r="B11" s="142">
        <v>43892</v>
      </c>
      <c r="C11" s="143" t="s">
        <v>443</v>
      </c>
      <c r="D11" s="144">
        <f>B11+1</f>
        <v>43893</v>
      </c>
      <c r="E11" s="143" t="s">
        <v>444</v>
      </c>
      <c r="F11" s="140">
        <f>D11+1</f>
        <v>43894</v>
      </c>
      <c r="G11" s="139" t="s">
        <v>139</v>
      </c>
      <c r="H11" s="144">
        <f>F11+1</f>
        <v>43895</v>
      </c>
      <c r="I11" s="143" t="s">
        <v>446</v>
      </c>
      <c r="J11" s="144">
        <f>H11+1</f>
        <v>43896</v>
      </c>
      <c r="K11" s="143" t="s">
        <v>447</v>
      </c>
    </row>
    <row r="12" spans="1:11" s="136" customFormat="1" ht="29.95" customHeight="1">
      <c r="A12" s="225"/>
      <c r="B12" s="190" t="s">
        <v>348</v>
      </c>
      <c r="C12" s="191"/>
      <c r="D12" s="190" t="s">
        <v>348</v>
      </c>
      <c r="E12" s="191"/>
      <c r="F12" s="190" t="s">
        <v>348</v>
      </c>
      <c r="G12" s="191"/>
      <c r="H12" s="190" t="s">
        <v>348</v>
      </c>
      <c r="I12" s="191"/>
      <c r="J12" s="190" t="s">
        <v>348</v>
      </c>
      <c r="K12" s="191"/>
    </row>
    <row r="13" spans="1:11" s="136" customFormat="1" ht="29.95" customHeight="1">
      <c r="A13" s="225"/>
      <c r="B13" s="202" t="s">
        <v>284</v>
      </c>
      <c r="C13" s="203"/>
      <c r="D13" s="202" t="s">
        <v>285</v>
      </c>
      <c r="E13" s="203"/>
      <c r="F13" s="202" t="s">
        <v>488</v>
      </c>
      <c r="G13" s="203"/>
      <c r="H13" s="202" t="s">
        <v>286</v>
      </c>
      <c r="I13" s="203"/>
      <c r="J13" s="202" t="s">
        <v>287</v>
      </c>
      <c r="K13" s="203"/>
    </row>
    <row r="14" spans="1:11" s="136" customFormat="1" ht="29.95" customHeight="1">
      <c r="A14" s="225"/>
      <c r="B14" s="204"/>
      <c r="C14" s="205"/>
      <c r="D14" s="204" t="s">
        <v>288</v>
      </c>
      <c r="E14" s="205"/>
      <c r="F14" s="204"/>
      <c r="G14" s="205"/>
      <c r="H14" s="204" t="s">
        <v>289</v>
      </c>
      <c r="I14" s="205"/>
      <c r="J14" s="204"/>
      <c r="K14" s="205"/>
    </row>
    <row r="15" spans="1:11" s="136" customFormat="1" ht="29.95" customHeight="1">
      <c r="A15" s="225"/>
      <c r="B15" s="208" t="s">
        <v>448</v>
      </c>
      <c r="C15" s="209"/>
      <c r="D15" s="212" t="s">
        <v>474</v>
      </c>
      <c r="E15" s="213"/>
      <c r="F15" s="208" t="s">
        <v>449</v>
      </c>
      <c r="G15" s="209"/>
      <c r="H15" s="208" t="s">
        <v>450</v>
      </c>
      <c r="I15" s="209"/>
      <c r="J15" s="208" t="s">
        <v>159</v>
      </c>
      <c r="K15" s="209"/>
    </row>
    <row r="16" spans="1:11" s="136" customFormat="1" ht="29.95" customHeight="1">
      <c r="A16" s="225"/>
      <c r="B16" s="208" t="s">
        <v>451</v>
      </c>
      <c r="C16" s="209"/>
      <c r="D16" s="208" t="s">
        <v>292</v>
      </c>
      <c r="E16" s="209"/>
      <c r="F16" s="208" t="s">
        <v>452</v>
      </c>
      <c r="G16" s="209"/>
      <c r="H16" s="208" t="s">
        <v>453</v>
      </c>
      <c r="I16" s="209"/>
      <c r="J16" s="208" t="s">
        <v>293</v>
      </c>
      <c r="K16" s="209"/>
    </row>
    <row r="17" spans="1:11" s="136" customFormat="1" ht="29.95" customHeight="1">
      <c r="A17" s="225"/>
      <c r="B17" s="216" t="s">
        <v>335</v>
      </c>
      <c r="C17" s="217"/>
      <c r="D17" s="216" t="s">
        <v>333</v>
      </c>
      <c r="E17" s="217"/>
      <c r="F17" s="216" t="s">
        <v>316</v>
      </c>
      <c r="G17" s="217"/>
      <c r="H17" s="216" t="s">
        <v>334</v>
      </c>
      <c r="I17" s="217"/>
      <c r="J17" s="216" t="s">
        <v>77</v>
      </c>
      <c r="K17" s="217"/>
    </row>
    <row r="18" spans="1:11" s="136" customFormat="1" ht="29.95" customHeight="1" thickBot="1">
      <c r="A18" s="226"/>
      <c r="B18" s="208" t="s">
        <v>151</v>
      </c>
      <c r="C18" s="209"/>
      <c r="D18" s="208" t="s">
        <v>122</v>
      </c>
      <c r="E18" s="209"/>
      <c r="F18" s="208" t="s">
        <v>454</v>
      </c>
      <c r="G18" s="209"/>
      <c r="H18" s="208" t="s">
        <v>158</v>
      </c>
      <c r="I18" s="209"/>
      <c r="J18" s="208" t="s">
        <v>455</v>
      </c>
      <c r="K18" s="209"/>
    </row>
    <row r="19" spans="1:11" s="135" customFormat="1" ht="19.899999999999999" customHeight="1" thickBot="1">
      <c r="A19" s="141" t="s">
        <v>143</v>
      </c>
      <c r="B19" s="222">
        <f>'2、3月明細(午餐)'!W57</f>
        <v>867.53571428571422</v>
      </c>
      <c r="C19" s="223"/>
      <c r="D19" s="222">
        <f>'2、3月明細(午餐)'!W65</f>
        <v>911.49142857142863</v>
      </c>
      <c r="E19" s="223"/>
      <c r="F19" s="222">
        <f>'2、3月明細(午餐)'!W73</f>
        <v>867.77984415584422</v>
      </c>
      <c r="G19" s="223"/>
      <c r="H19" s="222">
        <f>'2、3月明細(午餐)'!W81</f>
        <v>869.02493506493499</v>
      </c>
      <c r="I19" s="223"/>
      <c r="J19" s="222">
        <f>'2、3月明細(午餐)'!W89</f>
        <v>888.27353535353541</v>
      </c>
      <c r="K19" s="223"/>
    </row>
    <row r="20" spans="1:11" s="135" customFormat="1" ht="19.899999999999999" customHeight="1">
      <c r="A20" s="224" t="s">
        <v>262</v>
      </c>
      <c r="B20" s="142">
        <f>J11+3</f>
        <v>43899</v>
      </c>
      <c r="C20" s="143" t="s">
        <v>443</v>
      </c>
      <c r="D20" s="144">
        <f>B20+1</f>
        <v>43900</v>
      </c>
      <c r="E20" s="143" t="s">
        <v>444</v>
      </c>
      <c r="F20" s="144">
        <f>D20+1</f>
        <v>43901</v>
      </c>
      <c r="G20" s="143" t="s">
        <v>445</v>
      </c>
      <c r="H20" s="144">
        <f>F20+1</f>
        <v>43902</v>
      </c>
      <c r="I20" s="143" t="s">
        <v>446</v>
      </c>
      <c r="J20" s="144">
        <f>H20+1</f>
        <v>43903</v>
      </c>
      <c r="K20" s="143" t="s">
        <v>447</v>
      </c>
    </row>
    <row r="21" spans="1:11" s="136" customFormat="1" ht="29.95" customHeight="1">
      <c r="A21" s="225"/>
      <c r="B21" s="190" t="s">
        <v>348</v>
      </c>
      <c r="C21" s="191"/>
      <c r="D21" s="190" t="s">
        <v>348</v>
      </c>
      <c r="E21" s="191"/>
      <c r="F21" s="190" t="s">
        <v>441</v>
      </c>
      <c r="G21" s="191"/>
      <c r="H21" s="190" t="s">
        <v>348</v>
      </c>
      <c r="I21" s="191"/>
      <c r="J21" s="190" t="s">
        <v>348</v>
      </c>
      <c r="K21" s="191"/>
    </row>
    <row r="22" spans="1:11" s="136" customFormat="1" ht="29.95" customHeight="1">
      <c r="A22" s="225"/>
      <c r="B22" s="227" t="s">
        <v>435</v>
      </c>
      <c r="C22" s="228"/>
      <c r="D22" s="227" t="s">
        <v>436</v>
      </c>
      <c r="E22" s="228"/>
      <c r="F22" s="198" t="s">
        <v>489</v>
      </c>
      <c r="G22" s="199"/>
      <c r="H22" s="227" t="s">
        <v>437</v>
      </c>
      <c r="I22" s="228"/>
      <c r="J22" s="227" t="s">
        <v>438</v>
      </c>
      <c r="K22" s="228"/>
    </row>
    <row r="23" spans="1:11" s="136" customFormat="1" ht="29.95" customHeight="1">
      <c r="A23" s="225"/>
      <c r="B23" s="229"/>
      <c r="C23" s="230"/>
      <c r="D23" s="229"/>
      <c r="E23" s="230"/>
      <c r="F23" s="200"/>
      <c r="G23" s="201"/>
      <c r="H23" s="229"/>
      <c r="I23" s="230"/>
      <c r="J23" s="229"/>
      <c r="K23" s="230"/>
    </row>
    <row r="24" spans="1:11" s="136" customFormat="1" ht="29.95" customHeight="1">
      <c r="A24" s="225"/>
      <c r="B24" s="208" t="s">
        <v>275</v>
      </c>
      <c r="C24" s="209"/>
      <c r="D24" s="208" t="s">
        <v>115</v>
      </c>
      <c r="E24" s="209"/>
      <c r="F24" s="212" t="s">
        <v>472</v>
      </c>
      <c r="G24" s="213"/>
      <c r="H24" s="208" t="s">
        <v>170</v>
      </c>
      <c r="I24" s="209"/>
      <c r="J24" s="208" t="s">
        <v>456</v>
      </c>
      <c r="K24" s="209"/>
    </row>
    <row r="25" spans="1:11" s="136" customFormat="1" ht="29.95" customHeight="1">
      <c r="A25" s="225"/>
      <c r="B25" s="208" t="s">
        <v>294</v>
      </c>
      <c r="C25" s="209"/>
      <c r="D25" s="208" t="s">
        <v>295</v>
      </c>
      <c r="E25" s="209"/>
      <c r="F25" s="208" t="s">
        <v>296</v>
      </c>
      <c r="G25" s="209"/>
      <c r="H25" s="208" t="s">
        <v>171</v>
      </c>
      <c r="I25" s="209"/>
      <c r="J25" s="208" t="s">
        <v>457</v>
      </c>
      <c r="K25" s="209"/>
    </row>
    <row r="26" spans="1:11" s="136" customFormat="1" ht="29.95" customHeight="1">
      <c r="A26" s="225"/>
      <c r="B26" s="216" t="s">
        <v>316</v>
      </c>
      <c r="C26" s="217"/>
      <c r="D26" s="216" t="s">
        <v>77</v>
      </c>
      <c r="E26" s="217"/>
      <c r="F26" s="216" t="s">
        <v>334</v>
      </c>
      <c r="G26" s="217"/>
      <c r="H26" s="216" t="s">
        <v>333</v>
      </c>
      <c r="I26" s="217"/>
      <c r="J26" s="216" t="s">
        <v>316</v>
      </c>
      <c r="K26" s="217"/>
    </row>
    <row r="27" spans="1:11" s="136" customFormat="1" ht="29.95" customHeight="1" thickBot="1">
      <c r="A27" s="226"/>
      <c r="B27" s="208" t="s">
        <v>458</v>
      </c>
      <c r="C27" s="209"/>
      <c r="D27" s="208" t="s">
        <v>169</v>
      </c>
      <c r="E27" s="209"/>
      <c r="F27" s="208" t="s">
        <v>459</v>
      </c>
      <c r="G27" s="209"/>
      <c r="H27" s="208" t="s">
        <v>297</v>
      </c>
      <c r="I27" s="209"/>
      <c r="J27" s="208" t="s">
        <v>298</v>
      </c>
      <c r="K27" s="209"/>
    </row>
    <row r="28" spans="1:11" s="135" customFormat="1" ht="19.899999999999999" customHeight="1" thickBot="1">
      <c r="A28" s="141" t="s">
        <v>143</v>
      </c>
      <c r="B28" s="222">
        <f>'2、3月明細(午餐)'!W104</f>
        <v>879.38857142857137</v>
      </c>
      <c r="C28" s="223"/>
      <c r="D28" s="222">
        <f>'2、3月明細(午餐)'!W112</f>
        <v>847.87476190476195</v>
      </c>
      <c r="E28" s="223"/>
      <c r="F28" s="222">
        <f>'2、3月明細(午餐)'!W120</f>
        <v>862.2899783549783</v>
      </c>
      <c r="G28" s="223"/>
      <c r="H28" s="222">
        <f>'2、3月明細(午餐)'!W128</f>
        <v>878.55623376623385</v>
      </c>
      <c r="I28" s="223"/>
      <c r="J28" s="222">
        <f>'2、3月明細(午餐)'!W136</f>
        <v>875.62256493506493</v>
      </c>
      <c r="K28" s="223"/>
    </row>
    <row r="29" spans="1:11" s="135" customFormat="1" ht="19.899999999999999" customHeight="1">
      <c r="A29" s="224" t="s">
        <v>263</v>
      </c>
      <c r="B29" s="142">
        <f>J20+3</f>
        <v>43906</v>
      </c>
      <c r="C29" s="143" t="s">
        <v>137</v>
      </c>
      <c r="D29" s="144">
        <f>B29+1</f>
        <v>43907</v>
      </c>
      <c r="E29" s="143" t="s">
        <v>138</v>
      </c>
      <c r="F29" s="144">
        <f>D29+1</f>
        <v>43908</v>
      </c>
      <c r="G29" s="143" t="s">
        <v>139</v>
      </c>
      <c r="H29" s="144">
        <f>F29+1</f>
        <v>43909</v>
      </c>
      <c r="I29" s="143" t="s">
        <v>140</v>
      </c>
      <c r="J29" s="144">
        <f>H29+1</f>
        <v>43910</v>
      </c>
      <c r="K29" s="143" t="s">
        <v>141</v>
      </c>
    </row>
    <row r="30" spans="1:11" s="136" customFormat="1" ht="29.95" customHeight="1">
      <c r="A30" s="225"/>
      <c r="B30" s="190" t="s">
        <v>348</v>
      </c>
      <c r="C30" s="191"/>
      <c r="D30" s="190" t="s">
        <v>348</v>
      </c>
      <c r="E30" s="191"/>
      <c r="F30" s="190" t="s">
        <v>348</v>
      </c>
      <c r="G30" s="191"/>
      <c r="H30" s="190" t="s">
        <v>348</v>
      </c>
      <c r="I30" s="191"/>
      <c r="J30" s="190" t="s">
        <v>348</v>
      </c>
      <c r="K30" s="191"/>
    </row>
    <row r="31" spans="1:11" s="136" customFormat="1" ht="29.95" customHeight="1">
      <c r="A31" s="225"/>
      <c r="B31" s="227" t="s">
        <v>430</v>
      </c>
      <c r="C31" s="228"/>
      <c r="D31" s="227" t="s">
        <v>429</v>
      </c>
      <c r="E31" s="228"/>
      <c r="F31" s="227" t="s">
        <v>490</v>
      </c>
      <c r="G31" s="228"/>
      <c r="H31" s="227" t="s">
        <v>431</v>
      </c>
      <c r="I31" s="228"/>
      <c r="J31" s="227" t="s">
        <v>432</v>
      </c>
      <c r="K31" s="228"/>
    </row>
    <row r="32" spans="1:11" s="136" customFormat="1" ht="29.95" customHeight="1">
      <c r="A32" s="225"/>
      <c r="B32" s="229"/>
      <c r="C32" s="230"/>
      <c r="D32" s="229"/>
      <c r="E32" s="230"/>
      <c r="F32" s="229"/>
      <c r="G32" s="230"/>
      <c r="H32" s="229"/>
      <c r="I32" s="230"/>
      <c r="J32" s="229"/>
      <c r="K32" s="230"/>
    </row>
    <row r="33" spans="1:11" s="136" customFormat="1" ht="29.95" customHeight="1">
      <c r="A33" s="225"/>
      <c r="B33" s="208" t="s">
        <v>299</v>
      </c>
      <c r="C33" s="209"/>
      <c r="D33" s="208" t="s">
        <v>300</v>
      </c>
      <c r="E33" s="209"/>
      <c r="F33" s="208" t="s">
        <v>460</v>
      </c>
      <c r="G33" s="209"/>
      <c r="H33" s="208" t="s">
        <v>461</v>
      </c>
      <c r="I33" s="209"/>
      <c r="J33" s="208" t="s">
        <v>462</v>
      </c>
      <c r="K33" s="209"/>
    </row>
    <row r="34" spans="1:11" s="136" customFormat="1" ht="29.95" customHeight="1">
      <c r="A34" s="225"/>
      <c r="B34" s="208" t="s">
        <v>301</v>
      </c>
      <c r="C34" s="209"/>
      <c r="D34" s="208" t="s">
        <v>175</v>
      </c>
      <c r="E34" s="209"/>
      <c r="F34" s="208" t="s">
        <v>302</v>
      </c>
      <c r="G34" s="209"/>
      <c r="H34" s="208" t="s">
        <v>303</v>
      </c>
      <c r="I34" s="209"/>
      <c r="J34" s="208" t="s">
        <v>183</v>
      </c>
      <c r="K34" s="209"/>
    </row>
    <row r="35" spans="1:11" s="136" customFormat="1" ht="29.95" customHeight="1">
      <c r="A35" s="225"/>
      <c r="B35" s="216" t="s">
        <v>77</v>
      </c>
      <c r="C35" s="217"/>
      <c r="D35" s="216" t="s">
        <v>334</v>
      </c>
      <c r="E35" s="217"/>
      <c r="F35" s="216" t="s">
        <v>333</v>
      </c>
      <c r="G35" s="217"/>
      <c r="H35" s="216" t="s">
        <v>316</v>
      </c>
      <c r="I35" s="217"/>
      <c r="J35" s="216" t="s">
        <v>335</v>
      </c>
      <c r="K35" s="217"/>
    </row>
    <row r="36" spans="1:11" s="136" customFormat="1" ht="29.95" customHeight="1" thickBot="1">
      <c r="A36" s="226"/>
      <c r="B36" s="208" t="s">
        <v>304</v>
      </c>
      <c r="C36" s="209"/>
      <c r="D36" s="208" t="s">
        <v>305</v>
      </c>
      <c r="E36" s="209"/>
      <c r="F36" s="208" t="s">
        <v>178</v>
      </c>
      <c r="G36" s="209"/>
      <c r="H36" s="208" t="s">
        <v>463</v>
      </c>
      <c r="I36" s="209"/>
      <c r="J36" s="208" t="s">
        <v>184</v>
      </c>
      <c r="K36" s="209"/>
    </row>
    <row r="37" spans="1:11" s="135" customFormat="1" ht="19.899999999999999" customHeight="1" thickBot="1">
      <c r="A37" s="141" t="s">
        <v>143</v>
      </c>
      <c r="B37" s="222">
        <f>'2、3月明細(午餐)'!W151</f>
        <v>875.23727272727274</v>
      </c>
      <c r="C37" s="223"/>
      <c r="D37" s="222">
        <f>'2、3月明細(午餐)'!W159</f>
        <v>862.42119047619042</v>
      </c>
      <c r="E37" s="223"/>
      <c r="F37" s="222">
        <f>'2、3月明細(午餐)'!W167</f>
        <v>896.89588744588741</v>
      </c>
      <c r="G37" s="223"/>
      <c r="H37" s="222">
        <f>'2、3月明細(午餐)'!W175</f>
        <v>863.9078571428571</v>
      </c>
      <c r="I37" s="223"/>
      <c r="J37" s="222">
        <f>'2、3月明細(午餐)'!W183</f>
        <v>868.60547619047622</v>
      </c>
      <c r="K37" s="223"/>
    </row>
    <row r="38" spans="1:11" s="135" customFormat="1" ht="19.899999999999999" customHeight="1">
      <c r="A38" s="224" t="s">
        <v>264</v>
      </c>
      <c r="B38" s="142">
        <f>J29+3</f>
        <v>43913</v>
      </c>
      <c r="C38" s="143" t="s">
        <v>443</v>
      </c>
      <c r="D38" s="144">
        <f>B38+1</f>
        <v>43914</v>
      </c>
      <c r="E38" s="143" t="s">
        <v>444</v>
      </c>
      <c r="F38" s="144">
        <f>D38+1</f>
        <v>43915</v>
      </c>
      <c r="G38" s="143" t="s">
        <v>445</v>
      </c>
      <c r="H38" s="144">
        <f>F38+1</f>
        <v>43916</v>
      </c>
      <c r="I38" s="143" t="s">
        <v>446</v>
      </c>
      <c r="J38" s="144">
        <f>H38+1</f>
        <v>43917</v>
      </c>
      <c r="K38" s="143" t="s">
        <v>447</v>
      </c>
    </row>
    <row r="39" spans="1:11" s="136" customFormat="1" ht="29.95" customHeight="1">
      <c r="A39" s="225"/>
      <c r="B39" s="190" t="s">
        <v>348</v>
      </c>
      <c r="C39" s="191"/>
      <c r="D39" s="190" t="s">
        <v>348</v>
      </c>
      <c r="E39" s="191"/>
      <c r="F39" s="190" t="s">
        <v>442</v>
      </c>
      <c r="G39" s="191"/>
      <c r="H39" s="190" t="s">
        <v>348</v>
      </c>
      <c r="I39" s="191"/>
      <c r="J39" s="190" t="s">
        <v>348</v>
      </c>
      <c r="K39" s="191"/>
    </row>
    <row r="40" spans="1:11" s="136" customFormat="1" ht="29.95" customHeight="1">
      <c r="A40" s="225"/>
      <c r="B40" s="231" t="s">
        <v>427</v>
      </c>
      <c r="C40" s="232"/>
      <c r="D40" s="227" t="s">
        <v>291</v>
      </c>
      <c r="E40" s="228"/>
      <c r="F40" s="198" t="s">
        <v>491</v>
      </c>
      <c r="G40" s="199"/>
      <c r="H40" s="227" t="s">
        <v>428</v>
      </c>
      <c r="I40" s="228"/>
      <c r="J40" s="231" t="s">
        <v>439</v>
      </c>
      <c r="K40" s="232"/>
    </row>
    <row r="41" spans="1:11" s="136" customFormat="1" ht="29.95" customHeight="1">
      <c r="A41" s="225"/>
      <c r="B41" s="233"/>
      <c r="C41" s="234"/>
      <c r="D41" s="229"/>
      <c r="E41" s="230"/>
      <c r="F41" s="200"/>
      <c r="G41" s="201"/>
      <c r="H41" s="229"/>
      <c r="I41" s="230"/>
      <c r="J41" s="233"/>
      <c r="K41" s="234"/>
    </row>
    <row r="42" spans="1:11" s="136" customFormat="1" ht="29.95" customHeight="1">
      <c r="A42" s="225"/>
      <c r="B42" s="208" t="s">
        <v>248</v>
      </c>
      <c r="C42" s="209"/>
      <c r="D42" s="208" t="s">
        <v>464</v>
      </c>
      <c r="E42" s="209"/>
      <c r="F42" s="208" t="s">
        <v>465</v>
      </c>
      <c r="G42" s="209"/>
      <c r="H42" s="208" t="s">
        <v>306</v>
      </c>
      <c r="I42" s="209"/>
      <c r="J42" s="208" t="s">
        <v>466</v>
      </c>
      <c r="K42" s="209"/>
    </row>
    <row r="43" spans="1:11" s="136" customFormat="1" ht="29.95" customHeight="1">
      <c r="A43" s="225"/>
      <c r="B43" s="208" t="s">
        <v>467</v>
      </c>
      <c r="C43" s="209"/>
      <c r="D43" s="212" t="s">
        <v>480</v>
      </c>
      <c r="E43" s="213"/>
      <c r="F43" s="208" t="s">
        <v>307</v>
      </c>
      <c r="G43" s="209"/>
      <c r="H43" s="208" t="s">
        <v>308</v>
      </c>
      <c r="I43" s="209"/>
      <c r="J43" s="208" t="s">
        <v>309</v>
      </c>
      <c r="K43" s="209"/>
    </row>
    <row r="44" spans="1:11" s="136" customFormat="1" ht="29.95" customHeight="1">
      <c r="A44" s="225"/>
      <c r="B44" s="216" t="s">
        <v>77</v>
      </c>
      <c r="C44" s="217"/>
      <c r="D44" s="216" t="s">
        <v>333</v>
      </c>
      <c r="E44" s="217"/>
      <c r="F44" s="216" t="s">
        <v>316</v>
      </c>
      <c r="G44" s="217"/>
      <c r="H44" s="216" t="s">
        <v>335</v>
      </c>
      <c r="I44" s="217"/>
      <c r="J44" s="216" t="s">
        <v>334</v>
      </c>
      <c r="K44" s="217"/>
    </row>
    <row r="45" spans="1:11" s="136" customFormat="1" ht="29.95" customHeight="1" thickBot="1">
      <c r="A45" s="226"/>
      <c r="B45" s="208" t="s">
        <v>188</v>
      </c>
      <c r="C45" s="209"/>
      <c r="D45" s="208" t="s">
        <v>190</v>
      </c>
      <c r="E45" s="209"/>
      <c r="F45" s="208" t="s">
        <v>269</v>
      </c>
      <c r="G45" s="209"/>
      <c r="H45" s="208" t="s">
        <v>310</v>
      </c>
      <c r="I45" s="209"/>
      <c r="J45" s="208" t="s">
        <v>311</v>
      </c>
      <c r="K45" s="209"/>
    </row>
    <row r="46" spans="1:11" s="135" customFormat="1" ht="19.899999999999999" customHeight="1" thickBot="1">
      <c r="A46" s="141" t="s">
        <v>143</v>
      </c>
      <c r="B46" s="222">
        <f>'2、3月明細(午餐)'!W198</f>
        <v>847.29111111111115</v>
      </c>
      <c r="C46" s="223"/>
      <c r="D46" s="222">
        <f>'2、3月明細(午餐)'!W206</f>
        <v>844.5407936507936</v>
      </c>
      <c r="E46" s="223"/>
      <c r="F46" s="222">
        <f>'2、3月明細(午餐)'!W214</f>
        <v>870.35595238095232</v>
      </c>
      <c r="G46" s="223"/>
      <c r="H46" s="222">
        <f>'2、3月明細(午餐)'!W222</f>
        <v>869.68839826839826</v>
      </c>
      <c r="I46" s="223"/>
      <c r="J46" s="222">
        <f>'2、3月明細(午餐)'!W230</f>
        <v>875.1484415584415</v>
      </c>
      <c r="K46" s="223"/>
    </row>
    <row r="47" spans="1:11" s="135" customFormat="1" ht="19.350000000000001">
      <c r="A47" s="224" t="s">
        <v>265</v>
      </c>
      <c r="B47" s="144">
        <f>J38+3</f>
        <v>43920</v>
      </c>
      <c r="C47" s="143" t="s">
        <v>444</v>
      </c>
      <c r="D47" s="144">
        <f>B47+1</f>
        <v>43921</v>
      </c>
      <c r="E47" s="143" t="s">
        <v>444</v>
      </c>
      <c r="F47" s="144">
        <f>D47+1</f>
        <v>43922</v>
      </c>
      <c r="G47" s="143" t="s">
        <v>445</v>
      </c>
      <c r="H47" s="144">
        <f>F47+1</f>
        <v>43923</v>
      </c>
      <c r="I47" s="143" t="s">
        <v>446</v>
      </c>
      <c r="J47" s="172">
        <f>H47+1</f>
        <v>43924</v>
      </c>
      <c r="K47" s="143" t="s">
        <v>447</v>
      </c>
    </row>
    <row r="48" spans="1:11" ht="31.2">
      <c r="A48" s="225"/>
      <c r="B48" s="190" t="s">
        <v>348</v>
      </c>
      <c r="C48" s="191"/>
      <c r="D48" s="190" t="s">
        <v>348</v>
      </c>
      <c r="E48" s="191"/>
      <c r="F48" s="238"/>
      <c r="G48" s="239"/>
      <c r="H48" s="239"/>
      <c r="I48" s="239"/>
      <c r="J48" s="239"/>
      <c r="K48" s="240"/>
    </row>
    <row r="49" spans="1:11" ht="29.95" customHeight="1">
      <c r="A49" s="225"/>
      <c r="B49" s="227" t="s">
        <v>433</v>
      </c>
      <c r="C49" s="228"/>
      <c r="D49" s="227" t="s">
        <v>434</v>
      </c>
      <c r="E49" s="228"/>
      <c r="F49" s="241"/>
      <c r="G49" s="242"/>
      <c r="H49" s="242"/>
      <c r="I49" s="242"/>
      <c r="J49" s="242"/>
      <c r="K49" s="243"/>
    </row>
    <row r="50" spans="1:11" ht="29.95" customHeight="1">
      <c r="A50" s="225"/>
      <c r="B50" s="229"/>
      <c r="C50" s="230"/>
      <c r="D50" s="229"/>
      <c r="E50" s="230"/>
      <c r="F50" s="241"/>
      <c r="G50" s="242"/>
      <c r="H50" s="242"/>
      <c r="I50" s="242"/>
      <c r="J50" s="242"/>
      <c r="K50" s="243"/>
    </row>
    <row r="51" spans="1:11" ht="31.2">
      <c r="A51" s="225"/>
      <c r="B51" s="208" t="s">
        <v>197</v>
      </c>
      <c r="C51" s="209"/>
      <c r="D51" s="208" t="s">
        <v>312</v>
      </c>
      <c r="E51" s="209"/>
      <c r="F51" s="241"/>
      <c r="G51" s="242"/>
      <c r="H51" s="242"/>
      <c r="I51" s="242"/>
      <c r="J51" s="242"/>
      <c r="K51" s="243"/>
    </row>
    <row r="52" spans="1:11" ht="31.2">
      <c r="A52" s="225"/>
      <c r="B52" s="208" t="s">
        <v>313</v>
      </c>
      <c r="C52" s="209"/>
      <c r="D52" s="208" t="s">
        <v>124</v>
      </c>
      <c r="E52" s="209"/>
      <c r="F52" s="241"/>
      <c r="G52" s="242"/>
      <c r="H52" s="242"/>
      <c r="I52" s="242"/>
      <c r="J52" s="242"/>
      <c r="K52" s="243"/>
    </row>
    <row r="53" spans="1:11" ht="31.2">
      <c r="A53" s="225"/>
      <c r="B53" s="216" t="s">
        <v>316</v>
      </c>
      <c r="C53" s="217"/>
      <c r="D53" s="216" t="s">
        <v>333</v>
      </c>
      <c r="E53" s="217"/>
      <c r="F53" s="241"/>
      <c r="G53" s="242"/>
      <c r="H53" s="242"/>
      <c r="I53" s="242"/>
      <c r="J53" s="242"/>
      <c r="K53" s="243"/>
    </row>
    <row r="54" spans="1:11" ht="30.65" thickBot="1">
      <c r="A54" s="226"/>
      <c r="B54" s="206" t="s">
        <v>314</v>
      </c>
      <c r="C54" s="207"/>
      <c r="D54" s="206" t="s">
        <v>315</v>
      </c>
      <c r="E54" s="207"/>
      <c r="F54" s="241"/>
      <c r="G54" s="242"/>
      <c r="H54" s="242"/>
      <c r="I54" s="242"/>
      <c r="J54" s="242"/>
      <c r="K54" s="243"/>
    </row>
    <row r="55" spans="1:11" ht="16.149999999999999" thickBot="1">
      <c r="A55" s="145" t="s">
        <v>143</v>
      </c>
      <c r="B55" s="222">
        <f>'2、3月明細(午餐)'!W245</f>
        <v>881.79911255411264</v>
      </c>
      <c r="C55" s="223"/>
      <c r="D55" s="222">
        <f>'2、3月明細(午餐)'!W253</f>
        <v>858.0966955266955</v>
      </c>
      <c r="E55" s="223"/>
      <c r="F55" s="244"/>
      <c r="G55" s="245"/>
      <c r="H55" s="245"/>
      <c r="I55" s="245"/>
      <c r="J55" s="245"/>
      <c r="K55" s="246"/>
    </row>
    <row r="56" spans="1:11" ht="38.15">
      <c r="A56" s="236" t="s">
        <v>144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</row>
  </sheetData>
  <mergeCells count="192">
    <mergeCell ref="A1:K1"/>
    <mergeCell ref="A56:K56"/>
    <mergeCell ref="B53:C53"/>
    <mergeCell ref="D53:E53"/>
    <mergeCell ref="B54:C54"/>
    <mergeCell ref="D54:E54"/>
    <mergeCell ref="B55:C55"/>
    <mergeCell ref="D55:E55"/>
    <mergeCell ref="A47:A54"/>
    <mergeCell ref="B48:C48"/>
    <mergeCell ref="D48:E48"/>
    <mergeCell ref="B49:C50"/>
    <mergeCell ref="D49:E50"/>
    <mergeCell ref="B51:C51"/>
    <mergeCell ref="D51:E51"/>
    <mergeCell ref="B52:C52"/>
    <mergeCell ref="D52:E52"/>
    <mergeCell ref="F48:K55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J40:K41"/>
    <mergeCell ref="B42:C42"/>
    <mergeCell ref="D42:E42"/>
    <mergeCell ref="F42:G42"/>
    <mergeCell ref="H42:I42"/>
    <mergeCell ref="J42:K42"/>
    <mergeCell ref="J36:K36"/>
    <mergeCell ref="B37:C37"/>
    <mergeCell ref="D37:E37"/>
    <mergeCell ref="F37:G37"/>
    <mergeCell ref="H37:I37"/>
    <mergeCell ref="J37:K37"/>
    <mergeCell ref="A38:A45"/>
    <mergeCell ref="B39:C39"/>
    <mergeCell ref="D39:E39"/>
    <mergeCell ref="F39:G39"/>
    <mergeCell ref="H39:I39"/>
    <mergeCell ref="J39:K39"/>
    <mergeCell ref="B40:C41"/>
    <mergeCell ref="D40:E41"/>
    <mergeCell ref="F40:G41"/>
    <mergeCell ref="H40:I41"/>
    <mergeCell ref="B43:C43"/>
    <mergeCell ref="D43:E43"/>
    <mergeCell ref="F43:G43"/>
    <mergeCell ref="H43:I43"/>
    <mergeCell ref="J43:K43"/>
    <mergeCell ref="B44:C44"/>
    <mergeCell ref="D44:E44"/>
    <mergeCell ref="F44:G44"/>
    <mergeCell ref="A29:A36"/>
    <mergeCell ref="B30:C30"/>
    <mergeCell ref="D30:E30"/>
    <mergeCell ref="F30:G30"/>
    <mergeCell ref="H30:I30"/>
    <mergeCell ref="J30:K30"/>
    <mergeCell ref="B31:C32"/>
    <mergeCell ref="D31:E32"/>
    <mergeCell ref="F31:G32"/>
    <mergeCell ref="H31:I32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27:K27"/>
    <mergeCell ref="B28:C28"/>
    <mergeCell ref="D28:E28"/>
    <mergeCell ref="F28:G28"/>
    <mergeCell ref="H28:I28"/>
    <mergeCell ref="J28:K28"/>
    <mergeCell ref="J31:K32"/>
    <mergeCell ref="B33:C33"/>
    <mergeCell ref="D33:E33"/>
    <mergeCell ref="F33:G33"/>
    <mergeCell ref="H33:I33"/>
    <mergeCell ref="J33:K33"/>
    <mergeCell ref="A20:A27"/>
    <mergeCell ref="B21:C21"/>
    <mergeCell ref="D21:E21"/>
    <mergeCell ref="F21:G21"/>
    <mergeCell ref="H21:I21"/>
    <mergeCell ref="J21:K21"/>
    <mergeCell ref="B22:C23"/>
    <mergeCell ref="D22:E23"/>
    <mergeCell ref="F22:G23"/>
    <mergeCell ref="H22:I23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B19:C19"/>
    <mergeCell ref="D19:E19"/>
    <mergeCell ref="F19:G19"/>
    <mergeCell ref="H19:I19"/>
    <mergeCell ref="J19:K19"/>
    <mergeCell ref="J22:K23"/>
    <mergeCell ref="B24:C24"/>
    <mergeCell ref="D24:E24"/>
    <mergeCell ref="F24:G24"/>
    <mergeCell ref="H24:I24"/>
    <mergeCell ref="J24:K24"/>
    <mergeCell ref="A11:A18"/>
    <mergeCell ref="B12:C12"/>
    <mergeCell ref="D12:E12"/>
    <mergeCell ref="F12:G12"/>
    <mergeCell ref="H12:I12"/>
    <mergeCell ref="J12:K12"/>
    <mergeCell ref="B13:C14"/>
    <mergeCell ref="D13:E14"/>
    <mergeCell ref="F13:G14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D9:E9"/>
    <mergeCell ref="F9:G9"/>
    <mergeCell ref="H9:I9"/>
    <mergeCell ref="B10:C10"/>
    <mergeCell ref="D10:E10"/>
    <mergeCell ref="F10:G10"/>
    <mergeCell ref="H13:I14"/>
    <mergeCell ref="J13:K14"/>
    <mergeCell ref="B15:C15"/>
    <mergeCell ref="D15:E15"/>
    <mergeCell ref="F15:G15"/>
    <mergeCell ref="H15:I15"/>
    <mergeCell ref="J15:K15"/>
    <mergeCell ref="H10:I10"/>
    <mergeCell ref="A2:A9"/>
    <mergeCell ref="B3:C3"/>
    <mergeCell ref="D3:E3"/>
    <mergeCell ref="F3:G3"/>
    <mergeCell ref="H3:I3"/>
    <mergeCell ref="J3:K10"/>
    <mergeCell ref="B4:C5"/>
    <mergeCell ref="D4:E5"/>
    <mergeCell ref="F4:G5"/>
    <mergeCell ref="H4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</mergeCells>
  <phoneticPr fontId="3" type="noConversion"/>
  <printOptions horizontalCentered="1" verticalCentered="1"/>
  <pageMargins left="0.19685039370078741" right="0.19685039370078741" top="7.874015748031496E-2" bottom="0" header="0.31496062992125984" footer="0.31496062992125984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2"/>
  <sheetViews>
    <sheetView view="pageBreakPreview" topLeftCell="A190" zoomScale="90" zoomScaleNormal="70" zoomScaleSheetLayoutView="90" workbookViewId="0">
      <selection activeCell="Y203" sqref="Y203"/>
    </sheetView>
  </sheetViews>
  <sheetFormatPr defaultRowHeight="15.6"/>
  <cols>
    <col min="1" max="1" width="3.5" style="82" customWidth="1"/>
    <col min="2" max="2" width="7.69921875" customWidth="1"/>
    <col min="3" max="3" width="6.3984375" style="72" customWidth="1"/>
    <col min="4" max="4" width="10.19921875" customWidth="1"/>
    <col min="5" max="5" width="6.3984375" style="72" customWidth="1"/>
    <col min="6" max="6" width="7.3984375" customWidth="1"/>
    <col min="7" max="7" width="6.3984375" style="72" customWidth="1"/>
    <col min="8" max="8" width="6.8984375" customWidth="1"/>
    <col min="9" max="9" width="6.5" style="72" customWidth="1"/>
    <col min="10" max="10" width="7.5" customWidth="1"/>
    <col min="11" max="11" width="6.3984375" style="72" customWidth="1"/>
    <col min="12" max="12" width="6.59765625" customWidth="1"/>
    <col min="13" max="13" width="6.3984375" style="83" customWidth="1"/>
    <col min="14" max="14" width="7.3984375" hidden="1" customWidth="1"/>
    <col min="15" max="15" width="18" hidden="1" customWidth="1"/>
    <col min="16" max="16" width="5.59765625" hidden="1" customWidth="1"/>
    <col min="17" max="17" width="4.3984375" hidden="1" customWidth="1"/>
    <col min="18" max="18" width="7.5" hidden="1" customWidth="1"/>
    <col min="19" max="21" width="8.8984375" hidden="1" customWidth="1"/>
    <col min="22" max="22" width="0" hidden="1" customWidth="1"/>
    <col min="23" max="23" width="7.3984375" customWidth="1"/>
    <col min="24" max="24" width="17.5" customWidth="1"/>
    <col min="25" max="25" width="6.5" customWidth="1"/>
    <col min="26" max="26" width="5.59765625" customWidth="1"/>
    <col min="28" max="28" width="7.59765625" customWidth="1"/>
    <col min="31" max="32" width="5.5" customWidth="1"/>
  </cols>
  <sheetData>
    <row r="1" spans="1:30" ht="22.6" thickBot="1">
      <c r="A1" s="279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30" ht="32.799999999999997" thickBot="1">
      <c r="A2" s="74" t="s">
        <v>340</v>
      </c>
      <c r="B2" s="75" t="s">
        <v>341</v>
      </c>
      <c r="C2" s="4" t="s">
        <v>342</v>
      </c>
      <c r="D2" s="75" t="s">
        <v>343</v>
      </c>
      <c r="E2" s="4" t="s">
        <v>342</v>
      </c>
      <c r="F2" s="75" t="s">
        <v>343</v>
      </c>
      <c r="G2" s="4" t="s">
        <v>342</v>
      </c>
      <c r="H2" s="75" t="s">
        <v>343</v>
      </c>
      <c r="I2" s="4" t="s">
        <v>342</v>
      </c>
      <c r="J2" s="75" t="s">
        <v>344</v>
      </c>
      <c r="K2" s="4" t="s">
        <v>342</v>
      </c>
      <c r="L2" s="75" t="s">
        <v>345</v>
      </c>
      <c r="M2" s="4" t="s">
        <v>342</v>
      </c>
      <c r="N2" s="4" t="s">
        <v>346</v>
      </c>
      <c r="O2" s="280" t="s">
        <v>347</v>
      </c>
      <c r="P2" s="281"/>
      <c r="Q2" s="281"/>
      <c r="R2" s="281"/>
      <c r="S2" s="281"/>
      <c r="T2" s="281"/>
      <c r="U2" s="282"/>
      <c r="W2" s="4" t="s">
        <v>346</v>
      </c>
      <c r="X2" s="280" t="s">
        <v>347</v>
      </c>
      <c r="Y2" s="281"/>
      <c r="Z2" s="281"/>
      <c r="AA2" s="281"/>
      <c r="AB2" s="281"/>
      <c r="AC2" s="281"/>
      <c r="AD2" s="282"/>
    </row>
    <row r="3" spans="1:30" ht="16.149999999999999" customHeight="1" thickBot="1">
      <c r="A3" s="263">
        <v>43885</v>
      </c>
      <c r="B3" s="268"/>
      <c r="C3" s="270"/>
      <c r="D3" s="268"/>
      <c r="E3" s="267"/>
      <c r="F3" s="268"/>
      <c r="G3" s="270"/>
      <c r="H3" s="268"/>
      <c r="I3" s="272"/>
      <c r="J3" s="268"/>
      <c r="K3" s="283"/>
      <c r="L3" s="276"/>
      <c r="M3" s="277"/>
      <c r="N3" s="5" t="s">
        <v>349</v>
      </c>
      <c r="O3" s="48" t="s">
        <v>1</v>
      </c>
      <c r="P3" s="7">
        <f>C4/65+G4/55+G5/90+K4/20+M4/20+M5/20</f>
        <v>0</v>
      </c>
      <c r="Q3" s="8" t="s">
        <v>350</v>
      </c>
      <c r="R3" s="9" t="s">
        <v>351</v>
      </c>
      <c r="S3" s="10">
        <f>P9</f>
        <v>112.5</v>
      </c>
      <c r="T3" s="8" t="s">
        <v>352</v>
      </c>
      <c r="U3" s="11" t="s">
        <v>353</v>
      </c>
      <c r="W3" s="5" t="s">
        <v>349</v>
      </c>
      <c r="X3" s="253" t="s">
        <v>354</v>
      </c>
      <c r="Y3" s="254"/>
      <c r="Z3" s="255"/>
      <c r="AA3" s="256" t="s">
        <v>355</v>
      </c>
      <c r="AB3" s="257"/>
      <c r="AC3" s="257"/>
      <c r="AD3" s="258"/>
    </row>
    <row r="4" spans="1:30" ht="16.149999999999999" customHeight="1">
      <c r="A4" s="259"/>
      <c r="B4" s="104"/>
      <c r="C4" s="126"/>
      <c r="D4" s="104"/>
      <c r="E4" s="128"/>
      <c r="F4" s="57"/>
      <c r="G4" s="69"/>
      <c r="H4" s="110"/>
      <c r="I4" s="76"/>
      <c r="J4" s="61"/>
      <c r="K4" s="70"/>
      <c r="L4" s="61"/>
      <c r="M4" s="15"/>
      <c r="N4" s="16">
        <f>S4</f>
        <v>0</v>
      </c>
      <c r="O4" s="17" t="s">
        <v>2</v>
      </c>
      <c r="P4" s="18">
        <f>C6/55+E4/50+E5/35+K7/35</f>
        <v>0</v>
      </c>
      <c r="Q4" s="19" t="s">
        <v>350</v>
      </c>
      <c r="R4" s="20" t="s">
        <v>359</v>
      </c>
      <c r="S4" s="21">
        <f>P3*15+P5*5+P6*15+P7*12</f>
        <v>0</v>
      </c>
      <c r="T4" s="19" t="s">
        <v>360</v>
      </c>
      <c r="U4" s="22">
        <f>S4*4/S3</f>
        <v>0</v>
      </c>
      <c r="W4" s="16">
        <f>AB5</f>
        <v>0</v>
      </c>
      <c r="X4" s="6" t="s">
        <v>1</v>
      </c>
      <c r="Y4" s="7">
        <f>M4/20+G4/60+K4/30+K5/30+E7/70</f>
        <v>0</v>
      </c>
      <c r="Z4" s="8" t="s">
        <v>350</v>
      </c>
      <c r="AA4" s="9" t="s">
        <v>351</v>
      </c>
      <c r="AB4" s="10">
        <f>Y10</f>
        <v>0</v>
      </c>
      <c r="AC4" s="8" t="s">
        <v>352</v>
      </c>
      <c r="AD4" s="11" t="s">
        <v>353</v>
      </c>
    </row>
    <row r="5" spans="1:30" ht="16.149999999999999" customHeight="1">
      <c r="A5" s="259"/>
      <c r="B5" s="55"/>
      <c r="C5" s="56"/>
      <c r="D5" s="101"/>
      <c r="E5" s="100"/>
      <c r="F5" s="23"/>
      <c r="G5" s="24"/>
      <c r="H5" s="104"/>
      <c r="I5" s="64"/>
      <c r="J5" s="67"/>
      <c r="K5" s="66"/>
      <c r="L5" s="104"/>
      <c r="M5" s="128"/>
      <c r="N5" s="25" t="s">
        <v>364</v>
      </c>
      <c r="O5" s="26" t="s">
        <v>365</v>
      </c>
      <c r="P5" s="18">
        <f>(C5+I4+K5+K6+K8)/100</f>
        <v>0</v>
      </c>
      <c r="Q5" s="19" t="s">
        <v>350</v>
      </c>
      <c r="R5" s="20" t="s">
        <v>366</v>
      </c>
      <c r="S5" s="21">
        <f>P4*5+P7*4+P8*5</f>
        <v>12.5</v>
      </c>
      <c r="T5" s="19" t="s">
        <v>360</v>
      </c>
      <c r="U5" s="22">
        <f>S5*9/S3</f>
        <v>1</v>
      </c>
      <c r="W5" s="25" t="s">
        <v>364</v>
      </c>
      <c r="X5" s="17" t="s">
        <v>2</v>
      </c>
      <c r="Y5" s="18">
        <f>C4/35+E4/55+K5/15+G8/35</f>
        <v>0</v>
      </c>
      <c r="Z5" s="19" t="s">
        <v>350</v>
      </c>
      <c r="AA5" s="20" t="s">
        <v>359</v>
      </c>
      <c r="AB5" s="21">
        <f>Y4*15+Y6*5+Y7*15+Y8*12</f>
        <v>0</v>
      </c>
      <c r="AC5" s="19" t="s">
        <v>360</v>
      </c>
      <c r="AD5" s="22" t="e">
        <f>AB5*4/AB4</f>
        <v>#DIV/0!</v>
      </c>
    </row>
    <row r="6" spans="1:30" ht="16.149999999999999" customHeight="1">
      <c r="A6" s="259"/>
      <c r="B6" s="101"/>
      <c r="C6" s="24"/>
      <c r="D6" s="104"/>
      <c r="E6" s="128"/>
      <c r="F6" s="23"/>
      <c r="G6" s="24"/>
      <c r="H6" s="284"/>
      <c r="I6" s="285"/>
      <c r="J6" s="65"/>
      <c r="K6" s="66"/>
      <c r="L6" s="23"/>
      <c r="M6" s="126"/>
      <c r="N6" s="16">
        <f>S5</f>
        <v>12.5</v>
      </c>
      <c r="O6" s="84" t="s">
        <v>369</v>
      </c>
      <c r="P6" s="29">
        <v>0</v>
      </c>
      <c r="Q6" s="19" t="s">
        <v>350</v>
      </c>
      <c r="R6" s="20" t="s">
        <v>370</v>
      </c>
      <c r="S6" s="21">
        <f>P3*2+P4*7+P5*1+P7*8</f>
        <v>0</v>
      </c>
      <c r="T6" s="19" t="s">
        <v>360</v>
      </c>
      <c r="U6" s="22">
        <f>S6*4/S3</f>
        <v>0</v>
      </c>
      <c r="W6" s="16">
        <f>AB6</f>
        <v>0</v>
      </c>
      <c r="X6" s="26" t="s">
        <v>365</v>
      </c>
      <c r="Y6" s="18">
        <f>(C8+C6+C6+I4+G5+G6+K4+E5+E6)/100</f>
        <v>0</v>
      </c>
      <c r="Z6" s="19" t="s">
        <v>350</v>
      </c>
      <c r="AA6" s="20" t="s">
        <v>366</v>
      </c>
      <c r="AB6" s="21">
        <f>Y5*5+Y8*4+Y9*5</f>
        <v>0</v>
      </c>
      <c r="AC6" s="19" t="s">
        <v>360</v>
      </c>
      <c r="AD6" s="22" t="e">
        <f>AB6*9/AB4</f>
        <v>#DIV/0!</v>
      </c>
    </row>
    <row r="7" spans="1:30" ht="16.149999999999999" customHeight="1">
      <c r="A7" s="259"/>
      <c r="B7" s="95"/>
      <c r="C7" s="94"/>
      <c r="D7" s="146"/>
      <c r="E7" s="128"/>
      <c r="F7" s="95"/>
      <c r="G7" s="94"/>
      <c r="H7" s="104"/>
      <c r="I7" s="24"/>
      <c r="J7" s="65"/>
      <c r="K7" s="66"/>
      <c r="L7" s="95"/>
      <c r="M7" s="94"/>
      <c r="N7" s="25" t="s">
        <v>372</v>
      </c>
      <c r="O7" s="28" t="s">
        <v>3</v>
      </c>
      <c r="P7" s="29">
        <v>0</v>
      </c>
      <c r="Q7" s="19" t="s">
        <v>350</v>
      </c>
      <c r="R7" s="32"/>
      <c r="S7" s="32"/>
      <c r="T7" s="32"/>
      <c r="U7" s="33">
        <f>SUM(U4:U6)</f>
        <v>1</v>
      </c>
      <c r="W7" s="25" t="s">
        <v>372</v>
      </c>
      <c r="X7" s="28" t="s">
        <v>369</v>
      </c>
      <c r="Y7" s="29">
        <v>0</v>
      </c>
      <c r="Z7" s="19" t="s">
        <v>350</v>
      </c>
      <c r="AA7" s="20" t="s">
        <v>370</v>
      </c>
      <c r="AB7" s="21">
        <f>Y4*2+Y5*7+Y6*1+Y8*8</f>
        <v>0</v>
      </c>
      <c r="AC7" s="19" t="s">
        <v>360</v>
      </c>
      <c r="AD7" s="22" t="e">
        <f>AB7*4/AB4</f>
        <v>#DIV/0!</v>
      </c>
    </row>
    <row r="8" spans="1:30" ht="16.149999999999999" customHeight="1">
      <c r="A8" s="259" t="s">
        <v>320</v>
      </c>
      <c r="B8" s="95"/>
      <c r="C8" s="94"/>
      <c r="D8" s="146"/>
      <c r="E8" s="147"/>
      <c r="F8" s="95"/>
      <c r="G8" s="94"/>
      <c r="H8" s="104"/>
      <c r="I8" s="128"/>
      <c r="J8" s="104"/>
      <c r="K8" s="66"/>
      <c r="L8" s="104"/>
      <c r="M8" s="126"/>
      <c r="N8" s="16">
        <f>S6</f>
        <v>0</v>
      </c>
      <c r="O8" s="34" t="s">
        <v>373</v>
      </c>
      <c r="P8" s="29">
        <v>2.5</v>
      </c>
      <c r="Q8" s="19" t="s">
        <v>350</v>
      </c>
      <c r="R8" s="35"/>
      <c r="S8" s="35"/>
      <c r="T8" s="35"/>
      <c r="U8" s="36"/>
      <c r="W8" s="16">
        <f>AB7</f>
        <v>0</v>
      </c>
      <c r="X8" s="28" t="s">
        <v>3</v>
      </c>
      <c r="Y8" s="29">
        <v>0</v>
      </c>
      <c r="Z8" s="19" t="s">
        <v>350</v>
      </c>
      <c r="AA8" s="32"/>
      <c r="AB8" s="32"/>
      <c r="AC8" s="32"/>
      <c r="AD8" s="33" t="e">
        <f>SUM(AD5:AD7)</f>
        <v>#DIV/0!</v>
      </c>
    </row>
    <row r="9" spans="1:30" ht="16.149999999999999" customHeight="1" thickBot="1">
      <c r="A9" s="259"/>
      <c r="B9" s="95"/>
      <c r="C9" s="94"/>
      <c r="D9" s="146"/>
      <c r="E9" s="147"/>
      <c r="F9" s="95"/>
      <c r="G9" s="94"/>
      <c r="H9" s="104"/>
      <c r="I9" s="128"/>
      <c r="J9" s="95"/>
      <c r="K9" s="120"/>
      <c r="L9" s="23"/>
      <c r="M9" s="126"/>
      <c r="N9" s="25" t="s">
        <v>374</v>
      </c>
      <c r="O9" s="38" t="s">
        <v>375</v>
      </c>
      <c r="P9" s="39">
        <f>P3*68+P4*73+P5*24+P6*60+P7*112+P8*45</f>
        <v>112.5</v>
      </c>
      <c r="Q9" s="40" t="s">
        <v>352</v>
      </c>
      <c r="R9" s="41"/>
      <c r="S9" s="41"/>
      <c r="T9" s="41"/>
      <c r="U9" s="42"/>
      <c r="W9" s="25" t="s">
        <v>374</v>
      </c>
      <c r="X9" s="34" t="s">
        <v>373</v>
      </c>
      <c r="Y9" s="29"/>
      <c r="Z9" s="19" t="s">
        <v>350</v>
      </c>
      <c r="AA9" s="35"/>
      <c r="AB9" s="35"/>
      <c r="AC9" s="35"/>
      <c r="AD9" s="36"/>
    </row>
    <row r="10" spans="1:30" ht="16.149999999999999" customHeight="1" thickBot="1">
      <c r="A10" s="260"/>
      <c r="B10" s="261"/>
      <c r="C10" s="262"/>
      <c r="D10" s="261"/>
      <c r="E10" s="262"/>
      <c r="F10" s="261"/>
      <c r="G10" s="262"/>
      <c r="H10" s="261"/>
      <c r="I10" s="262"/>
      <c r="J10" s="261"/>
      <c r="K10" s="273"/>
      <c r="L10" s="261"/>
      <c r="M10" s="262"/>
      <c r="N10" s="43">
        <f>P9</f>
        <v>112.5</v>
      </c>
      <c r="O10" s="44"/>
      <c r="P10" s="45"/>
      <c r="Q10" s="45"/>
      <c r="R10" s="45"/>
      <c r="S10" s="45"/>
      <c r="T10" s="45"/>
      <c r="U10" s="46"/>
      <c r="W10" s="43">
        <f>Y10</f>
        <v>0</v>
      </c>
      <c r="X10" s="38" t="s">
        <v>375</v>
      </c>
      <c r="Y10" s="39">
        <f>Y4*68+Y5*73+Y6*24+Y7*60+Y8*112+Y9*45</f>
        <v>0</v>
      </c>
      <c r="Z10" s="40" t="s">
        <v>352</v>
      </c>
      <c r="AA10" s="41"/>
      <c r="AB10" s="41"/>
      <c r="AC10" s="41"/>
      <c r="AD10" s="42"/>
    </row>
    <row r="11" spans="1:30" ht="16.149999999999999" customHeight="1" thickBot="1">
      <c r="A11" s="263">
        <f>A3+1</f>
        <v>43886</v>
      </c>
      <c r="B11" s="264" t="s">
        <v>325</v>
      </c>
      <c r="C11" s="269"/>
      <c r="D11" s="268" t="s">
        <v>381</v>
      </c>
      <c r="E11" s="267"/>
      <c r="F11" s="268" t="s">
        <v>382</v>
      </c>
      <c r="G11" s="267"/>
      <c r="H11" s="265" t="s">
        <v>383</v>
      </c>
      <c r="I11" s="269"/>
      <c r="J11" s="268" t="s">
        <v>384</v>
      </c>
      <c r="K11" s="278"/>
      <c r="L11" s="276" t="s">
        <v>348</v>
      </c>
      <c r="M11" s="277"/>
      <c r="N11" s="5" t="s">
        <v>349</v>
      </c>
      <c r="O11" s="253" t="s">
        <v>354</v>
      </c>
      <c r="P11" s="254"/>
      <c r="Q11" s="255"/>
      <c r="R11" s="256" t="s">
        <v>355</v>
      </c>
      <c r="S11" s="257"/>
      <c r="T11" s="257"/>
      <c r="U11" s="258"/>
      <c r="W11" s="5" t="s">
        <v>349</v>
      </c>
      <c r="X11" s="253" t="s">
        <v>354</v>
      </c>
      <c r="Y11" s="254"/>
      <c r="Z11" s="255"/>
      <c r="AA11" s="256" t="s">
        <v>355</v>
      </c>
      <c r="AB11" s="257"/>
      <c r="AC11" s="257"/>
      <c r="AD11" s="258"/>
    </row>
    <row r="12" spans="1:30" ht="16.149999999999999" customHeight="1">
      <c r="A12" s="259"/>
      <c r="B12" s="23" t="s">
        <v>385</v>
      </c>
      <c r="C12" s="24">
        <v>100</v>
      </c>
      <c r="D12" s="110" t="s">
        <v>386</v>
      </c>
      <c r="E12" s="111">
        <v>30</v>
      </c>
      <c r="F12" s="61" t="s">
        <v>387</v>
      </c>
      <c r="G12" s="15">
        <v>20</v>
      </c>
      <c r="H12" s="110" t="s">
        <v>388</v>
      </c>
      <c r="I12" s="76">
        <v>100</v>
      </c>
      <c r="J12" s="61" t="s">
        <v>389</v>
      </c>
      <c r="K12" s="70">
        <v>9</v>
      </c>
      <c r="L12" s="61" t="s">
        <v>358</v>
      </c>
      <c r="M12" s="15">
        <v>140</v>
      </c>
      <c r="N12" s="16" t="e">
        <f>S13</f>
        <v>#REF!</v>
      </c>
      <c r="O12" s="48" t="s">
        <v>1</v>
      </c>
      <c r="P12" s="29">
        <f>G12/20+M12/20+M13/55</f>
        <v>8</v>
      </c>
      <c r="Q12" s="8" t="s">
        <v>350</v>
      </c>
      <c r="R12" s="49" t="s">
        <v>351</v>
      </c>
      <c r="S12" s="50" t="e">
        <f>P18</f>
        <v>#REF!</v>
      </c>
      <c r="T12" s="51" t="s">
        <v>352</v>
      </c>
      <c r="U12" s="52" t="s">
        <v>353</v>
      </c>
      <c r="W12" s="16">
        <f>AB13</f>
        <v>117.53823529411765</v>
      </c>
      <c r="X12" s="48" t="s">
        <v>1</v>
      </c>
      <c r="Y12" s="7">
        <f>K12/85+K13/90+M12/20</f>
        <v>7.2725490196078431</v>
      </c>
      <c r="Z12" s="8" t="s">
        <v>350</v>
      </c>
      <c r="AA12" s="49" t="s">
        <v>351</v>
      </c>
      <c r="AB12" s="50">
        <f>Y18</f>
        <v>851.75956709956699</v>
      </c>
      <c r="AC12" s="51" t="s">
        <v>352</v>
      </c>
      <c r="AD12" s="52" t="s">
        <v>353</v>
      </c>
    </row>
    <row r="13" spans="1:30" ht="16.149999999999999" customHeight="1">
      <c r="A13" s="259"/>
      <c r="B13" s="106" t="s">
        <v>361</v>
      </c>
      <c r="C13" s="107">
        <v>0.4</v>
      </c>
      <c r="D13" s="112" t="s">
        <v>390</v>
      </c>
      <c r="E13" s="91">
        <v>5</v>
      </c>
      <c r="F13" s="23" t="s">
        <v>391</v>
      </c>
      <c r="G13" s="126">
        <v>20</v>
      </c>
      <c r="H13" s="65"/>
      <c r="I13" s="64"/>
      <c r="J13" s="67" t="s">
        <v>357</v>
      </c>
      <c r="K13" s="66">
        <v>15</v>
      </c>
      <c r="L13" s="104"/>
      <c r="M13" s="128"/>
      <c r="N13" s="25" t="s">
        <v>364</v>
      </c>
      <c r="O13" s="17" t="s">
        <v>2</v>
      </c>
      <c r="P13" s="18" t="e">
        <f>C12/35+G15/35+E15/55+#REF!*0.65/35</f>
        <v>#REF!</v>
      </c>
      <c r="Q13" s="19" t="s">
        <v>350</v>
      </c>
      <c r="R13" s="20" t="s">
        <v>359</v>
      </c>
      <c r="S13" s="21" t="e">
        <f>P12*15+P14*5+P15*15+P16*12</f>
        <v>#REF!</v>
      </c>
      <c r="T13" s="19" t="s">
        <v>360</v>
      </c>
      <c r="U13" s="22" t="e">
        <f>S13*4/S12</f>
        <v>#REF!</v>
      </c>
      <c r="W13" s="25" t="s">
        <v>364</v>
      </c>
      <c r="X13" s="17" t="s">
        <v>2</v>
      </c>
      <c r="Y13" s="18">
        <f>C12*0.6/40+E12/35+K16/55+G14/35+E15/55</f>
        <v>2.8584415584415583</v>
      </c>
      <c r="Z13" s="19" t="s">
        <v>350</v>
      </c>
      <c r="AA13" s="20" t="s">
        <v>359</v>
      </c>
      <c r="AB13" s="21">
        <f>Y12*15+Y14*5+Y15*15+Y16*12</f>
        <v>117.53823529411765</v>
      </c>
      <c r="AC13" s="19" t="s">
        <v>360</v>
      </c>
      <c r="AD13" s="22">
        <f>AB13*4/AB12</f>
        <v>0.55197846826358188</v>
      </c>
    </row>
    <row r="14" spans="1:30" ht="16.149999999999999" customHeight="1">
      <c r="A14" s="259"/>
      <c r="B14" s="23"/>
      <c r="C14" s="24"/>
      <c r="D14" s="113" t="s">
        <v>392</v>
      </c>
      <c r="E14" s="91">
        <v>3</v>
      </c>
      <c r="F14" s="104" t="s">
        <v>393</v>
      </c>
      <c r="G14" s="128">
        <v>8</v>
      </c>
      <c r="H14" s="31"/>
      <c r="I14" s="128"/>
      <c r="J14" s="65" t="s">
        <v>363</v>
      </c>
      <c r="K14" s="66">
        <v>10</v>
      </c>
      <c r="L14" s="85"/>
      <c r="M14" s="88"/>
      <c r="N14" s="16" t="e">
        <f>S14</f>
        <v>#REF!</v>
      </c>
      <c r="O14" s="26" t="s">
        <v>365</v>
      </c>
      <c r="P14" s="18" t="e">
        <f>(C13+G13+G14+E12+E13+E14+#REF!+I12+#REF!)/100</f>
        <v>#REF!</v>
      </c>
      <c r="Q14" s="19" t="s">
        <v>350</v>
      </c>
      <c r="R14" s="20" t="s">
        <v>366</v>
      </c>
      <c r="S14" s="21" t="e">
        <f>P13*5+P16*4+P17*5</f>
        <v>#REF!</v>
      </c>
      <c r="T14" s="19" t="s">
        <v>360</v>
      </c>
      <c r="U14" s="22" t="e">
        <f>S14*9/S12</f>
        <v>#REF!</v>
      </c>
      <c r="W14" s="16">
        <f>AB14</f>
        <v>26.29220779220779</v>
      </c>
      <c r="X14" s="26" t="s">
        <v>365</v>
      </c>
      <c r="Y14" s="18">
        <f>(K14+I12+G12+G13+E13+E14+G15+G16+K15)/100</f>
        <v>1.69</v>
      </c>
      <c r="Z14" s="19" t="s">
        <v>350</v>
      </c>
      <c r="AA14" s="20" t="s">
        <v>366</v>
      </c>
      <c r="AB14" s="21">
        <f>Y13*5+Y16*4+Y17*5</f>
        <v>26.29220779220779</v>
      </c>
      <c r="AC14" s="19" t="s">
        <v>360</v>
      </c>
      <c r="AD14" s="22">
        <f>AB14*9/AB12</f>
        <v>0.27781298769046769</v>
      </c>
    </row>
    <row r="15" spans="1:30" ht="16.149999999999999" customHeight="1">
      <c r="A15" s="259"/>
      <c r="B15" s="23"/>
      <c r="C15" s="24"/>
      <c r="D15" s="104" t="s">
        <v>394</v>
      </c>
      <c r="E15" s="126">
        <v>5</v>
      </c>
      <c r="F15" s="104" t="s">
        <v>367</v>
      </c>
      <c r="G15" s="126">
        <v>3</v>
      </c>
      <c r="H15" s="31"/>
      <c r="I15" s="128"/>
      <c r="J15" s="65" t="s">
        <v>367</v>
      </c>
      <c r="K15" s="66">
        <v>5</v>
      </c>
      <c r="L15" s="85"/>
      <c r="M15" s="88"/>
      <c r="N15" s="25" t="s">
        <v>372</v>
      </c>
      <c r="O15" s="84" t="s">
        <v>369</v>
      </c>
      <c r="P15" s="29">
        <v>0</v>
      </c>
      <c r="Q15" s="19" t="s">
        <v>350</v>
      </c>
      <c r="R15" s="20" t="s">
        <v>370</v>
      </c>
      <c r="S15" s="21" t="e">
        <f>P12*2+P13*7+P14*1+P16*8</f>
        <v>#REF!</v>
      </c>
      <c r="T15" s="19" t="s">
        <v>360</v>
      </c>
      <c r="U15" s="22" t="e">
        <f>S15*4/S12</f>
        <v>#REF!</v>
      </c>
      <c r="W15" s="25" t="s">
        <v>372</v>
      </c>
      <c r="X15" s="28" t="s">
        <v>369</v>
      </c>
      <c r="Y15" s="29">
        <v>0</v>
      </c>
      <c r="Z15" s="19" t="s">
        <v>350</v>
      </c>
      <c r="AA15" s="20" t="s">
        <v>370</v>
      </c>
      <c r="AB15" s="21">
        <f>Y12*2+Y13*7+Y14*1+Y16*8</f>
        <v>36.244188948306594</v>
      </c>
      <c r="AC15" s="19" t="s">
        <v>360</v>
      </c>
      <c r="AD15" s="22">
        <f>AB15*4/AB12</f>
        <v>0.17020854404595048</v>
      </c>
    </row>
    <row r="16" spans="1:30" ht="16.149999999999999" customHeight="1">
      <c r="A16" s="259" t="s">
        <v>321</v>
      </c>
      <c r="B16" s="99"/>
      <c r="C16" s="100"/>
      <c r="D16" s="104"/>
      <c r="E16" s="128"/>
      <c r="F16" s="23" t="s">
        <v>395</v>
      </c>
      <c r="G16" s="24">
        <v>3</v>
      </c>
      <c r="H16" s="31"/>
      <c r="I16" s="128"/>
      <c r="J16" s="104" t="s">
        <v>356</v>
      </c>
      <c r="K16" s="66">
        <v>10</v>
      </c>
      <c r="L16" s="85"/>
      <c r="M16" s="88"/>
      <c r="N16" s="16" t="e">
        <f>S15</f>
        <v>#REF!</v>
      </c>
      <c r="O16" s="28" t="s">
        <v>3</v>
      </c>
      <c r="P16" s="29">
        <v>0</v>
      </c>
      <c r="Q16" s="19" t="s">
        <v>350</v>
      </c>
      <c r="R16" s="32"/>
      <c r="S16" s="32"/>
      <c r="T16" s="32"/>
      <c r="U16" s="33" t="e">
        <f>SUM(U13:U15)</f>
        <v>#REF!</v>
      </c>
      <c r="W16" s="16">
        <f>AB15</f>
        <v>36.244188948306594</v>
      </c>
      <c r="X16" s="28" t="s">
        <v>3</v>
      </c>
      <c r="Y16" s="29">
        <v>0</v>
      </c>
      <c r="Z16" s="19" t="s">
        <v>350</v>
      </c>
      <c r="AA16" s="32"/>
      <c r="AB16" s="32"/>
      <c r="AC16" s="32"/>
      <c r="AD16" s="33">
        <f>SUM(AD13:AD15)</f>
        <v>1</v>
      </c>
    </row>
    <row r="17" spans="1:30" ht="16.149999999999999" customHeight="1">
      <c r="A17" s="259"/>
      <c r="B17" s="99"/>
      <c r="C17" s="100"/>
      <c r="D17" s="101"/>
      <c r="E17" s="137"/>
      <c r="F17" s="23"/>
      <c r="G17" s="24"/>
      <c r="H17" s="31"/>
      <c r="I17" s="128"/>
      <c r="J17" s="115"/>
      <c r="K17" s="128"/>
      <c r="L17" s="85"/>
      <c r="M17" s="88"/>
      <c r="N17" s="25" t="s">
        <v>374</v>
      </c>
      <c r="O17" s="34" t="s">
        <v>373</v>
      </c>
      <c r="P17" s="29">
        <v>2.5</v>
      </c>
      <c r="Q17" s="19" t="s">
        <v>350</v>
      </c>
      <c r="R17" s="35"/>
      <c r="S17" s="35"/>
      <c r="T17" s="35"/>
      <c r="U17" s="36"/>
      <c r="W17" s="25" t="s">
        <v>374</v>
      </c>
      <c r="X17" s="34" t="s">
        <v>373</v>
      </c>
      <c r="Y17" s="29">
        <v>2.4</v>
      </c>
      <c r="Z17" s="19" t="s">
        <v>350</v>
      </c>
      <c r="AA17" s="35"/>
      <c r="AB17" s="35"/>
      <c r="AC17" s="35"/>
      <c r="AD17" s="36"/>
    </row>
    <row r="18" spans="1:30" ht="16.149999999999999" customHeight="1" thickBot="1">
      <c r="A18" s="260"/>
      <c r="B18" s="261" t="s">
        <v>380</v>
      </c>
      <c r="C18" s="262"/>
      <c r="D18" s="261" t="s">
        <v>396</v>
      </c>
      <c r="E18" s="262"/>
      <c r="F18" s="261" t="s">
        <v>396</v>
      </c>
      <c r="G18" s="262"/>
      <c r="H18" s="261" t="s">
        <v>379</v>
      </c>
      <c r="I18" s="262"/>
      <c r="J18" s="261" t="s">
        <v>380</v>
      </c>
      <c r="K18" s="262"/>
      <c r="L18" s="261" t="s">
        <v>377</v>
      </c>
      <c r="M18" s="262"/>
      <c r="N18" s="43" t="e">
        <f>P18</f>
        <v>#REF!</v>
      </c>
      <c r="O18" s="38" t="s">
        <v>375</v>
      </c>
      <c r="P18" s="39" t="e">
        <f>P12*68+P13*73+P14*24+P15*60+P16*112+P17*45</f>
        <v>#REF!</v>
      </c>
      <c r="Q18" s="40" t="s">
        <v>352</v>
      </c>
      <c r="R18" s="41"/>
      <c r="S18" s="41"/>
      <c r="T18" s="41"/>
      <c r="U18" s="42"/>
      <c r="W18" s="43">
        <f>Y18</f>
        <v>851.75956709956699</v>
      </c>
      <c r="X18" s="38" t="s">
        <v>375</v>
      </c>
      <c r="Y18" s="39">
        <f>Y12*68+Y13*73+Y14*24+Y15*60+Y16*112+Y17*45</f>
        <v>851.75956709956699</v>
      </c>
      <c r="Z18" s="40" t="s">
        <v>352</v>
      </c>
      <c r="AA18" s="41"/>
      <c r="AB18" s="41"/>
      <c r="AC18" s="41"/>
      <c r="AD18" s="42"/>
    </row>
    <row r="19" spans="1:30" ht="16.149999999999999" customHeight="1" thickBot="1">
      <c r="A19" s="263">
        <f>A11+1</f>
        <v>43887</v>
      </c>
      <c r="B19" s="264" t="s">
        <v>397</v>
      </c>
      <c r="C19" s="269"/>
      <c r="D19" s="268" t="s">
        <v>398</v>
      </c>
      <c r="E19" s="267"/>
      <c r="F19" s="268" t="s">
        <v>399</v>
      </c>
      <c r="G19" s="267"/>
      <c r="H19" s="268" t="s">
        <v>400</v>
      </c>
      <c r="I19" s="267"/>
      <c r="J19" s="268" t="s">
        <v>401</v>
      </c>
      <c r="K19" s="270"/>
      <c r="L19" s="276" t="s">
        <v>402</v>
      </c>
      <c r="M19" s="277"/>
      <c r="N19" s="5" t="s">
        <v>349</v>
      </c>
      <c r="O19" s="253" t="s">
        <v>354</v>
      </c>
      <c r="P19" s="254"/>
      <c r="Q19" s="255"/>
      <c r="R19" s="256" t="s">
        <v>355</v>
      </c>
      <c r="S19" s="257"/>
      <c r="T19" s="257"/>
      <c r="U19" s="258"/>
      <c r="W19" s="5" t="s">
        <v>349</v>
      </c>
      <c r="X19" s="253" t="s">
        <v>354</v>
      </c>
      <c r="Y19" s="254"/>
      <c r="Z19" s="255"/>
      <c r="AA19" s="256" t="s">
        <v>355</v>
      </c>
      <c r="AB19" s="257"/>
      <c r="AC19" s="257"/>
      <c r="AD19" s="258"/>
    </row>
    <row r="20" spans="1:30" ht="16.149999999999999" customHeight="1">
      <c r="A20" s="259"/>
      <c r="B20" s="102" t="s">
        <v>403</v>
      </c>
      <c r="C20" s="98">
        <v>130</v>
      </c>
      <c r="D20" s="61" t="s">
        <v>404</v>
      </c>
      <c r="E20" s="47">
        <v>20</v>
      </c>
      <c r="F20" s="61" t="s">
        <v>399</v>
      </c>
      <c r="G20" s="47">
        <v>30</v>
      </c>
      <c r="H20" s="110" t="s">
        <v>405</v>
      </c>
      <c r="I20" s="76">
        <v>100</v>
      </c>
      <c r="J20" s="127" t="s">
        <v>406</v>
      </c>
      <c r="K20" s="98">
        <v>20</v>
      </c>
      <c r="L20" s="57" t="s">
        <v>358</v>
      </c>
      <c r="M20" s="69">
        <v>120</v>
      </c>
      <c r="N20" s="16" t="e">
        <f>S21</f>
        <v>#REF!</v>
      </c>
      <c r="O20" s="48" t="s">
        <v>1</v>
      </c>
      <c r="P20" s="29">
        <f>K22/35+M20/20</f>
        <v>6</v>
      </c>
      <c r="Q20" s="8" t="s">
        <v>350</v>
      </c>
      <c r="R20" s="49" t="s">
        <v>351</v>
      </c>
      <c r="S20" s="50" t="e">
        <f>P26</f>
        <v>#REF!</v>
      </c>
      <c r="T20" s="51" t="s">
        <v>352</v>
      </c>
      <c r="U20" s="58"/>
      <c r="W20" s="16">
        <f>AB21</f>
        <v>120.81588999236058</v>
      </c>
      <c r="X20" s="48" t="s">
        <v>1</v>
      </c>
      <c r="Y20" s="7">
        <f>M20/20+G20/2/30+M23/85+M25/70+K20/55+K21/20</f>
        <v>7.5543926661573719</v>
      </c>
      <c r="Z20" s="8" t="s">
        <v>350</v>
      </c>
      <c r="AA20" s="49" t="s">
        <v>351</v>
      </c>
      <c r="AB20" s="50">
        <f>Y26</f>
        <v>863.37857142857138</v>
      </c>
      <c r="AC20" s="51" t="s">
        <v>352</v>
      </c>
      <c r="AD20" s="58"/>
    </row>
    <row r="21" spans="1:30" ht="16.149999999999999" customHeight="1">
      <c r="A21" s="259"/>
      <c r="B21" s="55" t="s">
        <v>361</v>
      </c>
      <c r="C21" s="56">
        <v>0.4</v>
      </c>
      <c r="D21" s="23" t="s">
        <v>407</v>
      </c>
      <c r="E21" s="126">
        <v>35</v>
      </c>
      <c r="F21" s="12"/>
      <c r="G21" s="126"/>
      <c r="H21" s="115"/>
      <c r="I21" s="54"/>
      <c r="J21" s="104" t="s">
        <v>408</v>
      </c>
      <c r="K21" s="128">
        <v>10</v>
      </c>
      <c r="L21" s="104" t="s">
        <v>386</v>
      </c>
      <c r="M21" s="128">
        <v>10</v>
      </c>
      <c r="N21" s="25" t="s">
        <v>364</v>
      </c>
      <c r="O21" s="17" t="s">
        <v>2</v>
      </c>
      <c r="P21" s="18">
        <f>C20*0.68/40+G37/35+G38/35+E29/15+K23/60</f>
        <v>2.7433333333333332</v>
      </c>
      <c r="Q21" s="19" t="s">
        <v>350</v>
      </c>
      <c r="R21" s="20" t="s">
        <v>359</v>
      </c>
      <c r="S21" s="21" t="e">
        <f>P20*15+P22*5+P23*15+P24*12</f>
        <v>#REF!</v>
      </c>
      <c r="T21" s="19" t="s">
        <v>360</v>
      </c>
      <c r="U21" s="22" t="e">
        <f>S21*4/S20</f>
        <v>#REF!</v>
      </c>
      <c r="W21" s="25" t="s">
        <v>364</v>
      </c>
      <c r="X21" s="17" t="s">
        <v>2</v>
      </c>
      <c r="Y21" s="18">
        <f>C20*0.6/40+E20/50+M21/35+E22/55</f>
        <v>2.8175324675324673</v>
      </c>
      <c r="Z21" s="19" t="s">
        <v>350</v>
      </c>
      <c r="AA21" s="20" t="s">
        <v>359</v>
      </c>
      <c r="AB21" s="21">
        <f>Y20*15+Y22*5+Y23*15+Y24*12</f>
        <v>120.81588999236058</v>
      </c>
      <c r="AC21" s="19" t="s">
        <v>360</v>
      </c>
      <c r="AD21" s="22">
        <f>AB21*4/AB20</f>
        <v>0.55973541151226436</v>
      </c>
    </row>
    <row r="22" spans="1:30" ht="16.149999999999999" customHeight="1">
      <c r="A22" s="259"/>
      <c r="B22" s="80"/>
      <c r="C22" s="126"/>
      <c r="D22" s="104" t="s">
        <v>409</v>
      </c>
      <c r="E22" s="126">
        <v>10</v>
      </c>
      <c r="F22" s="115"/>
      <c r="G22" s="126"/>
      <c r="H22" s="115"/>
      <c r="I22" s="128"/>
      <c r="J22" s="127"/>
      <c r="K22" s="71"/>
      <c r="L22" s="104" t="s">
        <v>363</v>
      </c>
      <c r="M22" s="128">
        <v>10</v>
      </c>
      <c r="N22" s="16">
        <f>S22</f>
        <v>26.216666666666665</v>
      </c>
      <c r="O22" s="26" t="s">
        <v>365</v>
      </c>
      <c r="P22" s="18" t="e">
        <f>(G36+E28+#REF!+I20+K20+K21)/100</f>
        <v>#REF!</v>
      </c>
      <c r="Q22" s="19" t="s">
        <v>350</v>
      </c>
      <c r="R22" s="20" t="s">
        <v>366</v>
      </c>
      <c r="S22" s="21">
        <f>P21*5+P24*4+P25*5</f>
        <v>26.216666666666665</v>
      </c>
      <c r="T22" s="19" t="s">
        <v>360</v>
      </c>
      <c r="U22" s="22" t="e">
        <f>S22*9/S20</f>
        <v>#REF!</v>
      </c>
      <c r="W22" s="16">
        <f>AB22</f>
        <v>26.087662337662337</v>
      </c>
      <c r="X22" s="26" t="s">
        <v>365</v>
      </c>
      <c r="Y22" s="18">
        <f>(E21+I20+M22+M24)/100</f>
        <v>1.5</v>
      </c>
      <c r="Z22" s="19" t="s">
        <v>350</v>
      </c>
      <c r="AA22" s="20" t="s">
        <v>366</v>
      </c>
      <c r="AB22" s="21">
        <f>Y21*5+Y24*4+Y25*5</f>
        <v>26.087662337662337</v>
      </c>
      <c r="AC22" s="19" t="s">
        <v>360</v>
      </c>
      <c r="AD22" s="22">
        <f>AB22*9/AB20</f>
        <v>0.27194207594296943</v>
      </c>
    </row>
    <row r="23" spans="1:30" ht="16.149999999999999" customHeight="1">
      <c r="A23" s="259"/>
      <c r="B23" s="95"/>
      <c r="C23" s="94"/>
      <c r="D23" s="23"/>
      <c r="E23" s="66"/>
      <c r="F23" s="12"/>
      <c r="G23" s="126"/>
      <c r="H23" s="115"/>
      <c r="I23" s="128"/>
      <c r="J23" s="127"/>
      <c r="K23" s="100"/>
      <c r="L23" s="101" t="s">
        <v>389</v>
      </c>
      <c r="M23" s="100">
        <v>15</v>
      </c>
      <c r="N23" s="25" t="s">
        <v>372</v>
      </c>
      <c r="O23" s="84" t="s">
        <v>369</v>
      </c>
      <c r="P23" s="29">
        <v>0</v>
      </c>
      <c r="Q23" s="19" t="s">
        <v>350</v>
      </c>
      <c r="R23" s="20" t="s">
        <v>370</v>
      </c>
      <c r="S23" s="21" t="e">
        <f>P20*2+P21*7+P22*1+P24*8</f>
        <v>#REF!</v>
      </c>
      <c r="T23" s="19" t="s">
        <v>360</v>
      </c>
      <c r="U23" s="22" t="e">
        <f>S23*4/S20</f>
        <v>#REF!</v>
      </c>
      <c r="W23" s="25" t="s">
        <v>372</v>
      </c>
      <c r="X23" s="28" t="s">
        <v>369</v>
      </c>
      <c r="Y23" s="29">
        <v>0</v>
      </c>
      <c r="Z23" s="19" t="s">
        <v>350</v>
      </c>
      <c r="AA23" s="20" t="s">
        <v>370</v>
      </c>
      <c r="AB23" s="21">
        <f>Y20*2+Y21*7+Y22*1+Y24*8</f>
        <v>36.331512605042015</v>
      </c>
      <c r="AC23" s="19" t="s">
        <v>360</v>
      </c>
      <c r="AD23" s="22">
        <f>AB23*4/AB20</f>
        <v>0.16832251254476624</v>
      </c>
    </row>
    <row r="24" spans="1:30" ht="16.149999999999999" customHeight="1">
      <c r="A24" s="259" t="s">
        <v>322</v>
      </c>
      <c r="B24" s="95"/>
      <c r="C24" s="94"/>
      <c r="F24" s="23"/>
      <c r="G24" s="126"/>
      <c r="H24" s="115"/>
      <c r="I24" s="128"/>
      <c r="J24" s="127"/>
      <c r="K24" s="100"/>
      <c r="L24" s="104" t="s">
        <v>367</v>
      </c>
      <c r="M24" s="128">
        <v>5</v>
      </c>
      <c r="N24" s="16" t="e">
        <f>S23</f>
        <v>#REF!</v>
      </c>
      <c r="O24" s="28" t="s">
        <v>3</v>
      </c>
      <c r="P24" s="29">
        <v>0</v>
      </c>
      <c r="Q24" s="19" t="s">
        <v>350</v>
      </c>
      <c r="R24" s="32"/>
      <c r="S24" s="32"/>
      <c r="T24" s="32"/>
      <c r="U24" s="33" t="e">
        <f>SUM(U21:U23)</f>
        <v>#REF!</v>
      </c>
      <c r="W24" s="16">
        <f>AB23</f>
        <v>36.331512605042015</v>
      </c>
      <c r="X24" s="28" t="s">
        <v>3</v>
      </c>
      <c r="Y24" s="29">
        <v>0</v>
      </c>
      <c r="Z24" s="19" t="s">
        <v>350</v>
      </c>
      <c r="AA24" s="32"/>
      <c r="AB24" s="32"/>
      <c r="AC24" s="32"/>
      <c r="AD24" s="33">
        <f>SUM(AD21:AD23)</f>
        <v>1</v>
      </c>
    </row>
    <row r="25" spans="1:30" ht="16.149999999999999" customHeight="1">
      <c r="A25" s="259"/>
      <c r="B25" s="95"/>
      <c r="C25" s="94"/>
      <c r="D25" s="101"/>
      <c r="E25" s="170"/>
      <c r="F25" s="95"/>
      <c r="G25" s="94"/>
      <c r="H25" s="12"/>
      <c r="I25" s="27"/>
      <c r="J25" s="53"/>
      <c r="K25" s="87"/>
      <c r="L25" s="104" t="s">
        <v>371</v>
      </c>
      <c r="M25" s="128">
        <v>1</v>
      </c>
      <c r="N25" s="25" t="s">
        <v>374</v>
      </c>
      <c r="O25" s="34" t="s">
        <v>373</v>
      </c>
      <c r="P25" s="29">
        <v>2.5</v>
      </c>
      <c r="Q25" s="19" t="s">
        <v>350</v>
      </c>
      <c r="R25" s="35"/>
      <c r="S25" s="35"/>
      <c r="T25" s="35"/>
      <c r="U25" s="36"/>
      <c r="W25" s="25" t="s">
        <v>374</v>
      </c>
      <c r="X25" s="34" t="s">
        <v>373</v>
      </c>
      <c r="Y25" s="29">
        <v>2.4</v>
      </c>
      <c r="Z25" s="19" t="s">
        <v>350</v>
      </c>
      <c r="AA25" s="35"/>
      <c r="AB25" s="35"/>
      <c r="AC25" s="35"/>
      <c r="AD25" s="36"/>
    </row>
    <row r="26" spans="1:30" ht="16.149999999999999" customHeight="1" thickBot="1">
      <c r="A26" s="260"/>
      <c r="B26" s="261" t="s">
        <v>376</v>
      </c>
      <c r="C26" s="262"/>
      <c r="D26" s="261" t="s">
        <v>410</v>
      </c>
      <c r="E26" s="273"/>
      <c r="F26" s="261" t="s">
        <v>378</v>
      </c>
      <c r="G26" s="262"/>
      <c r="H26" s="261" t="s">
        <v>379</v>
      </c>
      <c r="I26" s="262"/>
      <c r="J26" s="261" t="s">
        <v>380</v>
      </c>
      <c r="K26" s="262"/>
      <c r="L26" s="261" t="s">
        <v>396</v>
      </c>
      <c r="M26" s="262"/>
      <c r="N26" s="43" t="e">
        <f>P26</f>
        <v>#REF!</v>
      </c>
      <c r="O26" s="38" t="s">
        <v>375</v>
      </c>
      <c r="P26" s="39" t="e">
        <f>P20*68+P21*73+P22*24+P23*60+P24*112+P25*45</f>
        <v>#REF!</v>
      </c>
      <c r="Q26" s="40" t="s">
        <v>352</v>
      </c>
      <c r="R26" s="41"/>
      <c r="S26" s="41"/>
      <c r="T26" s="41"/>
      <c r="U26" s="42"/>
      <c r="W26" s="43">
        <f>Y26</f>
        <v>863.37857142857138</v>
      </c>
      <c r="X26" s="38" t="s">
        <v>375</v>
      </c>
      <c r="Y26" s="39">
        <f>Y20*68+Y21*73+Y22*24+Y23*60+Y24*112+Y25*45</f>
        <v>863.37857142857138</v>
      </c>
      <c r="Z26" s="40" t="s">
        <v>352</v>
      </c>
      <c r="AA26" s="41"/>
      <c r="AB26" s="41"/>
      <c r="AC26" s="41"/>
      <c r="AD26" s="42"/>
    </row>
    <row r="27" spans="1:30" ht="16.149999999999999" customHeight="1" thickBot="1">
      <c r="A27" s="263">
        <f>A19+1</f>
        <v>43888</v>
      </c>
      <c r="B27" s="264" t="s">
        <v>326</v>
      </c>
      <c r="C27" s="269"/>
      <c r="D27" s="268" t="s">
        <v>411</v>
      </c>
      <c r="E27" s="267"/>
      <c r="F27" s="274" t="s">
        <v>470</v>
      </c>
      <c r="G27" s="275"/>
      <c r="H27" s="265" t="s">
        <v>412</v>
      </c>
      <c r="I27" s="269"/>
      <c r="J27" s="264" t="s">
        <v>413</v>
      </c>
      <c r="K27" s="269"/>
      <c r="L27" s="276" t="s">
        <v>348</v>
      </c>
      <c r="M27" s="277"/>
      <c r="N27" s="5" t="s">
        <v>349</v>
      </c>
      <c r="O27" s="253" t="s">
        <v>354</v>
      </c>
      <c r="P27" s="254"/>
      <c r="Q27" s="255"/>
      <c r="R27" s="256" t="s">
        <v>355</v>
      </c>
      <c r="S27" s="257"/>
      <c r="T27" s="257"/>
      <c r="U27" s="258"/>
      <c r="W27" s="5" t="s">
        <v>349</v>
      </c>
      <c r="X27" s="253" t="s">
        <v>354</v>
      </c>
      <c r="Y27" s="254"/>
      <c r="Z27" s="255"/>
      <c r="AA27" s="256" t="s">
        <v>355</v>
      </c>
      <c r="AB27" s="257"/>
      <c r="AC27" s="257"/>
      <c r="AD27" s="258"/>
    </row>
    <row r="28" spans="1:30" ht="16.149999999999999" customHeight="1">
      <c r="A28" s="259"/>
      <c r="B28" s="102" t="s">
        <v>414</v>
      </c>
      <c r="C28" s="98">
        <v>80</v>
      </c>
      <c r="D28" s="57" t="s">
        <v>415</v>
      </c>
      <c r="E28" s="47">
        <v>30</v>
      </c>
      <c r="F28" s="173" t="s">
        <v>468</v>
      </c>
      <c r="G28" s="174">
        <v>50</v>
      </c>
      <c r="H28" s="93" t="s">
        <v>416</v>
      </c>
      <c r="I28" s="13">
        <v>100</v>
      </c>
      <c r="J28" s="97" t="s">
        <v>417</v>
      </c>
      <c r="K28" s="98">
        <v>15</v>
      </c>
      <c r="L28" s="61" t="s">
        <v>358</v>
      </c>
      <c r="M28" s="15">
        <v>150</v>
      </c>
      <c r="N28" s="16">
        <f>S29</f>
        <v>120.85</v>
      </c>
      <c r="O28" s="48" t="s">
        <v>1</v>
      </c>
      <c r="P28" s="29">
        <f>G23/35+M28/20</f>
        <v>7.5</v>
      </c>
      <c r="Q28" s="8" t="s">
        <v>350</v>
      </c>
      <c r="R28" s="49" t="s">
        <v>351</v>
      </c>
      <c r="S28" s="50" t="e">
        <f>P34</f>
        <v>#REF!</v>
      </c>
      <c r="T28" s="51" t="s">
        <v>352</v>
      </c>
      <c r="U28" s="52" t="s">
        <v>353</v>
      </c>
      <c r="W28" s="16">
        <f>AB29</f>
        <v>122.85</v>
      </c>
      <c r="X28" s="48" t="s">
        <v>1</v>
      </c>
      <c r="Y28" s="7">
        <f>M28/20</f>
        <v>7.5</v>
      </c>
      <c r="Z28" s="8" t="s">
        <v>350</v>
      </c>
      <c r="AA28" s="49" t="s">
        <v>351</v>
      </c>
      <c r="AB28" s="50">
        <f>Y34</f>
        <v>857.78337662337663</v>
      </c>
      <c r="AC28" s="51" t="s">
        <v>352</v>
      </c>
      <c r="AD28" s="52" t="s">
        <v>353</v>
      </c>
    </row>
    <row r="29" spans="1:30" ht="16.149999999999999" customHeight="1">
      <c r="A29" s="259"/>
      <c r="B29" s="53" t="s">
        <v>361</v>
      </c>
      <c r="C29" s="54">
        <v>0.08</v>
      </c>
      <c r="D29" s="23" t="s">
        <v>418</v>
      </c>
      <c r="E29" s="126">
        <v>8</v>
      </c>
      <c r="F29" s="106" t="s">
        <v>471</v>
      </c>
      <c r="G29" s="175">
        <v>5</v>
      </c>
      <c r="H29" s="68"/>
      <c r="I29" s="63"/>
      <c r="J29" s="65" t="s">
        <v>419</v>
      </c>
      <c r="K29" s="24">
        <v>3</v>
      </c>
      <c r="L29" s="104"/>
      <c r="M29" s="128"/>
      <c r="N29" s="25" t="s">
        <v>364</v>
      </c>
      <c r="O29" s="17" t="s">
        <v>2</v>
      </c>
      <c r="P29" s="18" t="e">
        <f>C28/35+#REF!/80+#REF!/35</f>
        <v>#REF!</v>
      </c>
      <c r="Q29" s="19" t="s">
        <v>350</v>
      </c>
      <c r="R29" s="20" t="s">
        <v>359</v>
      </c>
      <c r="S29" s="21">
        <f>P28*15+P30*5+P31*15+P32*12</f>
        <v>120.85</v>
      </c>
      <c r="T29" s="19" t="s">
        <v>360</v>
      </c>
      <c r="U29" s="22" t="e">
        <f>S29*4/S28</f>
        <v>#REF!</v>
      </c>
      <c r="W29" s="25" t="s">
        <v>364</v>
      </c>
      <c r="X29" s="17" t="s">
        <v>2</v>
      </c>
      <c r="Y29" s="18">
        <f>C28*0.92/35+E30/35+K28/55+G33*0.6/40</f>
        <v>2.6041558441558443</v>
      </c>
      <c r="Z29" s="19" t="s">
        <v>350</v>
      </c>
      <c r="AA29" s="20" t="s">
        <v>359</v>
      </c>
      <c r="AB29" s="21">
        <f>Y28*15+Y30*5+Y31*15+Y32*12</f>
        <v>122.85</v>
      </c>
      <c r="AC29" s="19" t="s">
        <v>360</v>
      </c>
      <c r="AD29" s="22">
        <f>AB29*4/AB28</f>
        <v>0.57287190844659719</v>
      </c>
    </row>
    <row r="30" spans="1:30" ht="16.149999999999999" customHeight="1">
      <c r="A30" s="259"/>
      <c r="B30" s="112" t="s">
        <v>363</v>
      </c>
      <c r="C30" s="126">
        <v>5</v>
      </c>
      <c r="D30" s="104" t="s">
        <v>420</v>
      </c>
      <c r="E30" s="126">
        <v>8</v>
      </c>
      <c r="F30" s="104"/>
      <c r="G30" s="126"/>
      <c r="H30" s="37"/>
      <c r="I30" s="126"/>
      <c r="J30" s="65" t="s">
        <v>368</v>
      </c>
      <c r="K30" s="24">
        <v>0.5</v>
      </c>
      <c r="L30" s="12"/>
      <c r="M30" s="27"/>
      <c r="N30" s="16" t="e">
        <f>S30</f>
        <v>#REF!</v>
      </c>
      <c r="O30" s="26" t="s">
        <v>365</v>
      </c>
      <c r="P30" s="18">
        <f>(G20+G21+G22+E31+I28+K12+K13+K14)/100</f>
        <v>1.67</v>
      </c>
      <c r="Q30" s="19" t="s">
        <v>350</v>
      </c>
      <c r="R30" s="20" t="s">
        <v>366</v>
      </c>
      <c r="S30" s="21" t="e">
        <f>P29*5+P32*4+P33*5</f>
        <v>#REF!</v>
      </c>
      <c r="T30" s="19" t="s">
        <v>360</v>
      </c>
      <c r="U30" s="22" t="e">
        <f>S30*9/S28</f>
        <v>#REF!</v>
      </c>
      <c r="W30" s="16">
        <f>AB30</f>
        <v>25.020779220779222</v>
      </c>
      <c r="X30" s="26" t="s">
        <v>365</v>
      </c>
      <c r="Y30" s="18">
        <f>(C30+E28+E29+I28+K29+E31+E32+G28)/100</f>
        <v>2.0699999999999998</v>
      </c>
      <c r="Z30" s="19" t="s">
        <v>350</v>
      </c>
      <c r="AA30" s="20" t="s">
        <v>366</v>
      </c>
      <c r="AB30" s="21">
        <f>Y29*5+Y32*4+Y33*5</f>
        <v>25.020779220779222</v>
      </c>
      <c r="AC30" s="19" t="s">
        <v>360</v>
      </c>
      <c r="AD30" s="22">
        <f>AB30*9/AB28</f>
        <v>0.26252200628257794</v>
      </c>
    </row>
    <row r="31" spans="1:30" ht="16.149999999999999" customHeight="1">
      <c r="A31" s="259"/>
      <c r="B31" s="95" t="s">
        <v>421</v>
      </c>
      <c r="C31" s="94">
        <v>1</v>
      </c>
      <c r="D31" s="121" t="s">
        <v>367</v>
      </c>
      <c r="E31" s="30">
        <v>3</v>
      </c>
      <c r="F31" s="121"/>
      <c r="G31" s="30"/>
      <c r="H31" s="105"/>
      <c r="I31" s="94"/>
      <c r="J31" s="104"/>
      <c r="K31" s="71"/>
      <c r="L31" s="12"/>
      <c r="M31" s="27"/>
      <c r="N31" s="25" t="s">
        <v>372</v>
      </c>
      <c r="O31" s="84" t="s">
        <v>369</v>
      </c>
      <c r="P31" s="29">
        <v>0</v>
      </c>
      <c r="Q31" s="19" t="s">
        <v>350</v>
      </c>
      <c r="R31" s="20" t="s">
        <v>370</v>
      </c>
      <c r="S31" s="21" t="e">
        <f>P28*2+P29*7+P30*1+P32*8</f>
        <v>#REF!</v>
      </c>
      <c r="T31" s="19" t="s">
        <v>360</v>
      </c>
      <c r="U31" s="22" t="e">
        <f>S31*4/S28</f>
        <v>#REF!</v>
      </c>
      <c r="W31" s="25" t="s">
        <v>372</v>
      </c>
      <c r="X31" s="28" t="s">
        <v>369</v>
      </c>
      <c r="Y31" s="29">
        <v>0</v>
      </c>
      <c r="Z31" s="19" t="s">
        <v>350</v>
      </c>
      <c r="AA31" s="20" t="s">
        <v>370</v>
      </c>
      <c r="AB31" s="21">
        <f>Y28*2+Y29*7+Y30*1+Y32*8</f>
        <v>35.299090909090914</v>
      </c>
      <c r="AC31" s="19" t="s">
        <v>360</v>
      </c>
      <c r="AD31" s="22">
        <f>AB31*4/AB28</f>
        <v>0.1646060852708249</v>
      </c>
    </row>
    <row r="32" spans="1:30" ht="16.149999999999999" customHeight="1">
      <c r="A32" s="259" t="s">
        <v>323</v>
      </c>
      <c r="B32" s="95"/>
      <c r="C32" s="94"/>
      <c r="D32" s="134" t="s">
        <v>362</v>
      </c>
      <c r="E32" s="160">
        <v>8</v>
      </c>
      <c r="F32" s="134"/>
      <c r="G32" s="176"/>
      <c r="H32" s="99"/>
      <c r="I32" s="137"/>
      <c r="J32" s="99"/>
      <c r="K32" s="94"/>
      <c r="L32" s="12"/>
      <c r="M32" s="27"/>
      <c r="N32" s="16" t="e">
        <f>S31</f>
        <v>#REF!</v>
      </c>
      <c r="O32" s="28" t="s">
        <v>3</v>
      </c>
      <c r="P32" s="29">
        <v>0</v>
      </c>
      <c r="Q32" s="19" t="s">
        <v>350</v>
      </c>
      <c r="R32" s="32"/>
      <c r="S32" s="32"/>
      <c r="T32" s="32"/>
      <c r="U32" s="33" t="e">
        <f>SUM(U29:U31)</f>
        <v>#REF!</v>
      </c>
      <c r="W32" s="16">
        <f>AB31</f>
        <v>35.299090909090914</v>
      </c>
      <c r="X32" s="28" t="s">
        <v>3</v>
      </c>
      <c r="Y32" s="29">
        <v>0</v>
      </c>
      <c r="Z32" s="19" t="s">
        <v>350</v>
      </c>
      <c r="AA32" s="32"/>
      <c r="AB32" s="32"/>
      <c r="AC32" s="32"/>
      <c r="AD32" s="33">
        <f>SUM(AD29:AD31)</f>
        <v>1</v>
      </c>
    </row>
    <row r="33" spans="1:30" ht="16.149999999999999" customHeight="1">
      <c r="A33" s="259"/>
      <c r="B33" s="104"/>
      <c r="C33" s="154"/>
      <c r="D33" s="95"/>
      <c r="E33" s="120"/>
      <c r="F33" s="95"/>
      <c r="G33" s="94"/>
      <c r="H33" s="99"/>
      <c r="I33" s="137"/>
      <c r="J33" s="53"/>
      <c r="K33" s="90"/>
      <c r="L33" s="23"/>
      <c r="M33" s="71"/>
      <c r="N33" s="25" t="s">
        <v>374</v>
      </c>
      <c r="O33" s="34" t="s">
        <v>373</v>
      </c>
      <c r="P33" s="29">
        <v>2.5</v>
      </c>
      <c r="Q33" s="19" t="s">
        <v>350</v>
      </c>
      <c r="R33" s="35"/>
      <c r="S33" s="35"/>
      <c r="T33" s="35"/>
      <c r="U33" s="36"/>
      <c r="W33" s="25" t="s">
        <v>374</v>
      </c>
      <c r="X33" s="34" t="s">
        <v>373</v>
      </c>
      <c r="Y33" s="29">
        <v>2.4</v>
      </c>
      <c r="Z33" s="19" t="s">
        <v>350</v>
      </c>
      <c r="AA33" s="35"/>
      <c r="AB33" s="35"/>
      <c r="AC33" s="35"/>
      <c r="AD33" s="36"/>
    </row>
    <row r="34" spans="1:30" ht="16.149999999999999" customHeight="1" thickBot="1">
      <c r="A34" s="260"/>
      <c r="B34" s="261" t="s">
        <v>410</v>
      </c>
      <c r="C34" s="262"/>
      <c r="D34" s="261" t="s">
        <v>380</v>
      </c>
      <c r="E34" s="262"/>
      <c r="F34" s="261" t="s">
        <v>102</v>
      </c>
      <c r="G34" s="262"/>
      <c r="H34" s="273" t="s">
        <v>379</v>
      </c>
      <c r="I34" s="262"/>
      <c r="J34" s="261" t="s">
        <v>380</v>
      </c>
      <c r="K34" s="262"/>
      <c r="L34" s="261" t="s">
        <v>377</v>
      </c>
      <c r="M34" s="262"/>
      <c r="N34" s="43" t="e">
        <f>P34</f>
        <v>#REF!</v>
      </c>
      <c r="O34" s="38" t="s">
        <v>375</v>
      </c>
      <c r="P34" s="39" t="e">
        <f>P28*68+P29*73+P30*24+P31*60+P32*112+P33*45</f>
        <v>#REF!</v>
      </c>
      <c r="Q34" s="40" t="s">
        <v>352</v>
      </c>
      <c r="R34" s="41"/>
      <c r="S34" s="41"/>
      <c r="T34" s="41"/>
      <c r="U34" s="42"/>
      <c r="W34" s="43">
        <f>Y34</f>
        <v>857.78337662337663</v>
      </c>
      <c r="X34" s="38" t="s">
        <v>375</v>
      </c>
      <c r="Y34" s="39">
        <f>Y28*68+Y29*73+Y30*24+Y31*60+Y32*112+Y33*45</f>
        <v>857.78337662337663</v>
      </c>
      <c r="Z34" s="40" t="s">
        <v>352</v>
      </c>
      <c r="AA34" s="41"/>
      <c r="AB34" s="41"/>
      <c r="AC34" s="41"/>
      <c r="AD34" s="42"/>
    </row>
    <row r="35" spans="1:30" ht="16.149999999999999" customHeight="1" thickBot="1">
      <c r="A35" s="263">
        <f>A27+1</f>
        <v>43889</v>
      </c>
      <c r="B35" s="264"/>
      <c r="C35" s="265"/>
      <c r="D35" s="266"/>
      <c r="E35" s="267"/>
      <c r="F35" s="268"/>
      <c r="G35" s="267"/>
      <c r="H35" s="264"/>
      <c r="I35" s="269"/>
      <c r="J35" s="268"/>
      <c r="K35" s="270"/>
      <c r="L35" s="271"/>
      <c r="M35" s="272"/>
      <c r="N35" s="5" t="s">
        <v>349</v>
      </c>
      <c r="O35" s="253" t="s">
        <v>354</v>
      </c>
      <c r="P35" s="254"/>
      <c r="Q35" s="255"/>
      <c r="R35" s="256" t="s">
        <v>355</v>
      </c>
      <c r="S35" s="257"/>
      <c r="T35" s="257"/>
      <c r="U35" s="258"/>
      <c r="W35" s="5" t="s">
        <v>349</v>
      </c>
      <c r="X35" s="253" t="s">
        <v>354</v>
      </c>
      <c r="Y35" s="254"/>
      <c r="Z35" s="255"/>
      <c r="AA35" s="256" t="s">
        <v>355</v>
      </c>
      <c r="AB35" s="257"/>
      <c r="AC35" s="257"/>
      <c r="AD35" s="258"/>
    </row>
    <row r="36" spans="1:30" ht="16.149999999999999" customHeight="1">
      <c r="A36" s="259"/>
      <c r="B36" s="61"/>
      <c r="C36" s="166"/>
      <c r="D36" s="14"/>
      <c r="E36" s="47"/>
      <c r="F36" s="65"/>
      <c r="G36" s="128"/>
      <c r="H36" s="110"/>
      <c r="I36" s="13"/>
      <c r="J36" s="61"/>
      <c r="K36" s="70"/>
      <c r="L36" s="168"/>
      <c r="M36" s="138"/>
      <c r="N36" s="16" t="e">
        <f>S37</f>
        <v>#REF!</v>
      </c>
      <c r="O36" s="48" t="s">
        <v>1</v>
      </c>
      <c r="P36" s="29">
        <f>G41/55+M36/20+M37/20</f>
        <v>0</v>
      </c>
      <c r="Q36" s="8" t="s">
        <v>350</v>
      </c>
      <c r="R36" s="49" t="s">
        <v>351</v>
      </c>
      <c r="S36" s="50" t="e">
        <f>P42</f>
        <v>#REF!</v>
      </c>
      <c r="T36" s="51" t="s">
        <v>352</v>
      </c>
      <c r="U36" s="58"/>
      <c r="W36" s="16">
        <f>AB37</f>
        <v>0</v>
      </c>
      <c r="X36" s="48" t="s">
        <v>1</v>
      </c>
      <c r="Y36" s="29">
        <f>M36/20+M37/20+G36/20</f>
        <v>0</v>
      </c>
      <c r="Z36" s="8" t="s">
        <v>350</v>
      </c>
      <c r="AA36" s="49" t="s">
        <v>351</v>
      </c>
      <c r="AB36" s="50">
        <f>Y42</f>
        <v>0</v>
      </c>
      <c r="AC36" s="51" t="s">
        <v>352</v>
      </c>
      <c r="AD36" s="58"/>
    </row>
    <row r="37" spans="1:30" ht="16.149999999999999" customHeight="1">
      <c r="A37" s="259"/>
      <c r="B37" s="104"/>
      <c r="C37" s="70"/>
      <c r="D37" s="12"/>
      <c r="E37" s="126"/>
      <c r="F37" s="65"/>
      <c r="G37" s="128"/>
      <c r="H37" s="99"/>
      <c r="I37" s="100"/>
      <c r="J37" s="163"/>
      <c r="K37" s="77"/>
      <c r="L37" s="73"/>
      <c r="M37" s="71"/>
      <c r="N37" s="25" t="s">
        <v>364</v>
      </c>
      <c r="O37" s="17" t="s">
        <v>2</v>
      </c>
      <c r="P37" s="18" t="e">
        <f>C36*0.58/40+E38/55+#REF!*0.52/35+#REF!/80</f>
        <v>#REF!</v>
      </c>
      <c r="Q37" s="19" t="s">
        <v>350</v>
      </c>
      <c r="R37" s="20" t="s">
        <v>359</v>
      </c>
      <c r="S37" s="21" t="e">
        <f>P36*15+P38*5+P39*15+P40*12</f>
        <v>#REF!</v>
      </c>
      <c r="T37" s="19" t="s">
        <v>360</v>
      </c>
      <c r="U37" s="22" t="e">
        <f>S37*4/S36</f>
        <v>#REF!</v>
      </c>
      <c r="W37" s="25" t="s">
        <v>364</v>
      </c>
      <c r="X37" s="17" t="s">
        <v>2</v>
      </c>
      <c r="Y37" s="18">
        <f>C36/35+E39/80+K37*0.6/35+E36/55+K39/15</f>
        <v>0</v>
      </c>
      <c r="Z37" s="19" t="s">
        <v>350</v>
      </c>
      <c r="AA37" s="20" t="s">
        <v>359</v>
      </c>
      <c r="AB37" s="21">
        <f>Y36*15+Y38*5+Y39*15+Y40*12</f>
        <v>0</v>
      </c>
      <c r="AC37" s="19" t="s">
        <v>360</v>
      </c>
      <c r="AD37" s="22" t="e">
        <f>AB37*4/AB36</f>
        <v>#DIV/0!</v>
      </c>
    </row>
    <row r="38" spans="1:30" ht="16.149999999999999" customHeight="1">
      <c r="A38" s="259"/>
      <c r="B38" s="23"/>
      <c r="C38" s="120"/>
      <c r="D38" s="115"/>
      <c r="E38" s="126"/>
      <c r="F38" s="101"/>
      <c r="G38" s="100"/>
      <c r="H38" s="12"/>
      <c r="I38" s="126"/>
      <c r="J38" s="167"/>
      <c r="K38" s="169"/>
      <c r="L38" s="85"/>
      <c r="M38" s="71"/>
      <c r="N38" s="16" t="e">
        <f>S38</f>
        <v>#REF!</v>
      </c>
      <c r="O38" s="26" t="s">
        <v>365</v>
      </c>
      <c r="P38" s="18" t="e">
        <f>(E36+E37+E38+E39+#REF!+#REF!+I36+#REF!+#REF!)/100</f>
        <v>#REF!</v>
      </c>
      <c r="Q38" s="19" t="s">
        <v>350</v>
      </c>
      <c r="R38" s="20" t="s">
        <v>366</v>
      </c>
      <c r="S38" s="21" t="e">
        <f>P37*5+P40*4+P41*5</f>
        <v>#REF!</v>
      </c>
      <c r="T38" s="19" t="s">
        <v>360</v>
      </c>
      <c r="U38" s="22" t="e">
        <f>S38*9/S36</f>
        <v>#REF!</v>
      </c>
      <c r="W38" s="16">
        <f>AB38</f>
        <v>0</v>
      </c>
      <c r="X38" s="26" t="s">
        <v>365</v>
      </c>
      <c r="Y38" s="18">
        <f>(E37+G37+G38+G39+G40+G41+K36+E38+I36)/100</f>
        <v>0</v>
      </c>
      <c r="Z38" s="19" t="s">
        <v>350</v>
      </c>
      <c r="AA38" s="20" t="s">
        <v>366</v>
      </c>
      <c r="AB38" s="21">
        <f>Y37*5+Y40*4+Y41*5</f>
        <v>0</v>
      </c>
      <c r="AC38" s="19" t="s">
        <v>360</v>
      </c>
      <c r="AD38" s="22" t="e">
        <f>AB38*9/AB36</f>
        <v>#DIV/0!</v>
      </c>
    </row>
    <row r="39" spans="1:30" ht="16.149999999999999" customHeight="1">
      <c r="A39" s="259"/>
      <c r="D39" s="12"/>
      <c r="E39" s="126"/>
      <c r="F39" s="115"/>
      <c r="G39" s="170"/>
      <c r="H39" s="12"/>
      <c r="I39" s="126"/>
      <c r="J39" s="163"/>
      <c r="K39" s="77"/>
      <c r="L39" s="73"/>
      <c r="M39" s="71"/>
      <c r="N39" s="25" t="s">
        <v>372</v>
      </c>
      <c r="O39" s="84" t="s">
        <v>369</v>
      </c>
      <c r="P39" s="29">
        <v>0</v>
      </c>
      <c r="Q39" s="19" t="s">
        <v>350</v>
      </c>
      <c r="R39" s="20" t="s">
        <v>370</v>
      </c>
      <c r="S39" s="21" t="e">
        <f>P36*2+P37*7+P38*1+P40*8</f>
        <v>#REF!</v>
      </c>
      <c r="T39" s="19" t="s">
        <v>360</v>
      </c>
      <c r="U39" s="22" t="e">
        <f>S39*4/S36</f>
        <v>#REF!</v>
      </c>
      <c r="W39" s="25" t="s">
        <v>372</v>
      </c>
      <c r="X39" s="28" t="s">
        <v>369</v>
      </c>
      <c r="Y39" s="29">
        <v>0</v>
      </c>
      <c r="Z39" s="19" t="s">
        <v>350</v>
      </c>
      <c r="AA39" s="20" t="s">
        <v>370</v>
      </c>
      <c r="AB39" s="21">
        <f>Y36*2+Y37*7+Y38*1+Y40*8</f>
        <v>0</v>
      </c>
      <c r="AC39" s="19" t="s">
        <v>360</v>
      </c>
      <c r="AD39" s="22" t="e">
        <f>AB39*4/AB36</f>
        <v>#DIV/0!</v>
      </c>
    </row>
    <row r="40" spans="1:30" ht="16.149999999999999" customHeight="1">
      <c r="A40" s="259" t="s">
        <v>324</v>
      </c>
      <c r="B40" s="95"/>
      <c r="C40" s="120"/>
      <c r="D40" s="23"/>
      <c r="E40" s="126"/>
      <c r="F40" s="101"/>
      <c r="G40" s="170"/>
      <c r="H40" s="12"/>
      <c r="I40" s="126"/>
      <c r="K40"/>
      <c r="L40" s="23"/>
      <c r="M40" s="27"/>
      <c r="N40" s="16" t="e">
        <f>S39</f>
        <v>#REF!</v>
      </c>
      <c r="O40" s="28" t="s">
        <v>3</v>
      </c>
      <c r="P40" s="29">
        <v>0</v>
      </c>
      <c r="Q40" s="19" t="s">
        <v>350</v>
      </c>
      <c r="R40" s="32"/>
      <c r="S40" s="32"/>
      <c r="T40" s="32"/>
      <c r="U40" s="33" t="e">
        <f>SUM(U37:U39)</f>
        <v>#REF!</v>
      </c>
      <c r="W40" s="16">
        <f>AB39</f>
        <v>0</v>
      </c>
      <c r="X40" s="28" t="s">
        <v>3</v>
      </c>
      <c r="Y40" s="29">
        <v>0</v>
      </c>
      <c r="Z40" s="19" t="s">
        <v>350</v>
      </c>
      <c r="AA40" s="32"/>
      <c r="AB40" s="32"/>
      <c r="AC40" s="32"/>
      <c r="AD40" s="33" t="e">
        <f>SUM(AD37:AD39)</f>
        <v>#DIV/0!</v>
      </c>
    </row>
    <row r="41" spans="1:30" ht="16.149999999999999" customHeight="1">
      <c r="A41" s="259"/>
      <c r="B41" s="95"/>
      <c r="C41" s="120"/>
      <c r="D41" s="95"/>
      <c r="E41" s="94"/>
      <c r="F41" s="104"/>
      <c r="G41" s="126"/>
      <c r="H41" s="73"/>
      <c r="I41" s="71"/>
      <c r="J41" s="55"/>
      <c r="K41" s="63"/>
      <c r="L41" s="23"/>
      <c r="M41" s="27"/>
      <c r="N41" s="25" t="s">
        <v>374</v>
      </c>
      <c r="O41" s="34" t="s">
        <v>373</v>
      </c>
      <c r="P41" s="29">
        <v>2.5</v>
      </c>
      <c r="Q41" s="19" t="s">
        <v>350</v>
      </c>
      <c r="R41" s="35"/>
      <c r="S41" s="35"/>
      <c r="T41" s="35"/>
      <c r="U41" s="36"/>
      <c r="W41" s="25" t="s">
        <v>374</v>
      </c>
      <c r="X41" s="34" t="s">
        <v>373</v>
      </c>
      <c r="Y41" s="29">
        <v>0</v>
      </c>
      <c r="Z41" s="19" t="s">
        <v>350</v>
      </c>
      <c r="AA41" s="35"/>
      <c r="AB41" s="35"/>
      <c r="AC41" s="35"/>
      <c r="AD41" s="36"/>
    </row>
    <row r="42" spans="1:30" ht="16.149999999999999" customHeight="1" thickBot="1">
      <c r="A42" s="260"/>
      <c r="B42" s="261"/>
      <c r="C42" s="262"/>
      <c r="D42" s="261"/>
      <c r="E42" s="262"/>
      <c r="F42" s="261"/>
      <c r="G42" s="262"/>
      <c r="H42" s="261"/>
      <c r="I42" s="262"/>
      <c r="J42" s="261"/>
      <c r="K42" s="262"/>
      <c r="L42" s="261"/>
      <c r="M42" s="262"/>
      <c r="N42" s="43" t="e">
        <f>P42</f>
        <v>#REF!</v>
      </c>
      <c r="O42" s="38" t="s">
        <v>375</v>
      </c>
      <c r="P42" s="39" t="e">
        <f>P36*68+P37*73+P38*24+P39*60+P40*112+P41*45</f>
        <v>#REF!</v>
      </c>
      <c r="Q42" s="40" t="s">
        <v>352</v>
      </c>
      <c r="R42" s="41"/>
      <c r="S42" s="41"/>
      <c r="T42" s="41"/>
      <c r="U42" s="42"/>
      <c r="W42" s="43">
        <f>Y42</f>
        <v>0</v>
      </c>
      <c r="X42" s="38" t="s">
        <v>375</v>
      </c>
      <c r="Y42" s="39">
        <f>Y36*68+Y37*73+Y38*24+Y39*60+Y40*112+Y41*45</f>
        <v>0</v>
      </c>
      <c r="Z42" s="40" t="s">
        <v>352</v>
      </c>
      <c r="AA42" s="41"/>
      <c r="AB42" s="41"/>
      <c r="AC42" s="41"/>
      <c r="AD42" s="42"/>
    </row>
    <row r="43" spans="1:30">
      <c r="A43" s="247" t="s">
        <v>422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</row>
    <row r="44" spans="1:30">
      <c r="A44" s="249" t="s">
        <v>423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</row>
    <row r="45" spans="1:30">
      <c r="A45" s="250" t="s">
        <v>424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</row>
    <row r="46" spans="1:30">
      <c r="A46" s="251" t="s">
        <v>425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</row>
    <row r="47" spans="1:30">
      <c r="A47" s="252" t="s">
        <v>426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</row>
    <row r="48" spans="1:30" ht="22.6" thickBot="1">
      <c r="A48" s="279" t="s">
        <v>203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1"/>
    </row>
    <row r="49" spans="1:30" ht="32.799999999999997" thickBot="1">
      <c r="A49" s="2" t="s">
        <v>4</v>
      </c>
      <c r="B49" s="3" t="s">
        <v>5</v>
      </c>
      <c r="C49" s="4" t="s">
        <v>6</v>
      </c>
      <c r="D49" s="3" t="s">
        <v>7</v>
      </c>
      <c r="E49" s="4" t="s">
        <v>6</v>
      </c>
      <c r="F49" s="3" t="s">
        <v>7</v>
      </c>
      <c r="G49" s="4" t="s">
        <v>6</v>
      </c>
      <c r="H49" s="75" t="s">
        <v>50</v>
      </c>
      <c r="I49" s="4" t="s">
        <v>6</v>
      </c>
      <c r="J49" s="3" t="s">
        <v>8</v>
      </c>
      <c r="K49" s="4" t="s">
        <v>6</v>
      </c>
      <c r="L49" s="3" t="s">
        <v>9</v>
      </c>
      <c r="M49" s="4" t="s">
        <v>6</v>
      </c>
      <c r="N49" s="4" t="s">
        <v>10</v>
      </c>
      <c r="O49" s="280" t="s">
        <v>11</v>
      </c>
      <c r="P49" s="281"/>
      <c r="Q49" s="281"/>
      <c r="R49" s="281"/>
      <c r="S49" s="281"/>
      <c r="T49" s="281"/>
      <c r="U49" s="282"/>
      <c r="W49" s="4" t="s">
        <v>10</v>
      </c>
      <c r="X49" s="280" t="s">
        <v>11</v>
      </c>
      <c r="Y49" s="281"/>
      <c r="Z49" s="281"/>
      <c r="AA49" s="281"/>
      <c r="AB49" s="281"/>
      <c r="AC49" s="281"/>
      <c r="AD49" s="282"/>
    </row>
    <row r="50" spans="1:30" ht="16.149999999999999" customHeight="1" thickBot="1">
      <c r="A50" s="263">
        <v>43892</v>
      </c>
      <c r="B50" s="268" t="s">
        <v>148</v>
      </c>
      <c r="C50" s="267"/>
      <c r="D50" s="264" t="s">
        <v>149</v>
      </c>
      <c r="E50" s="269"/>
      <c r="F50" s="264" t="s">
        <v>150</v>
      </c>
      <c r="G50" s="269"/>
      <c r="H50" s="268" t="s">
        <v>44</v>
      </c>
      <c r="I50" s="272"/>
      <c r="J50" s="268" t="s">
        <v>151</v>
      </c>
      <c r="K50" s="270"/>
      <c r="L50" s="276" t="s">
        <v>142</v>
      </c>
      <c r="M50" s="277"/>
      <c r="N50" s="5" t="s">
        <v>12</v>
      </c>
      <c r="O50" s="48" t="s">
        <v>1</v>
      </c>
      <c r="P50" s="7">
        <v>0</v>
      </c>
      <c r="Q50" s="8" t="s">
        <v>13</v>
      </c>
      <c r="R50" s="9" t="s">
        <v>14</v>
      </c>
      <c r="S50" s="10">
        <f>P56</f>
        <v>0</v>
      </c>
      <c r="T50" s="8" t="s">
        <v>15</v>
      </c>
      <c r="U50" s="11" t="s">
        <v>16</v>
      </c>
      <c r="W50" s="5" t="s">
        <v>12</v>
      </c>
      <c r="X50" s="253" t="s">
        <v>29</v>
      </c>
      <c r="Y50" s="254"/>
      <c r="Z50" s="255"/>
      <c r="AA50" s="256" t="s">
        <v>30</v>
      </c>
      <c r="AB50" s="257"/>
      <c r="AC50" s="257"/>
      <c r="AD50" s="258"/>
    </row>
    <row r="51" spans="1:30" ht="16.149999999999999" customHeight="1">
      <c r="A51" s="259"/>
      <c r="B51" s="102" t="s">
        <v>62</v>
      </c>
      <c r="C51" s="98">
        <v>140</v>
      </c>
      <c r="D51" s="61" t="s">
        <v>126</v>
      </c>
      <c r="E51" s="15">
        <v>60</v>
      </c>
      <c r="F51" s="37" t="s">
        <v>146</v>
      </c>
      <c r="G51" s="47">
        <v>30</v>
      </c>
      <c r="H51" s="110" t="s">
        <v>113</v>
      </c>
      <c r="I51" s="76">
        <v>100</v>
      </c>
      <c r="J51" s="61" t="s">
        <v>70</v>
      </c>
      <c r="K51" s="62">
        <v>20</v>
      </c>
      <c r="L51" s="61" t="s">
        <v>34</v>
      </c>
      <c r="M51" s="15">
        <v>140</v>
      </c>
      <c r="N51" s="16">
        <f>S51</f>
        <v>0</v>
      </c>
      <c r="O51" s="17" t="s">
        <v>2</v>
      </c>
      <c r="P51" s="18">
        <v>0</v>
      </c>
      <c r="Q51" s="19" t="s">
        <v>13</v>
      </c>
      <c r="R51" s="20" t="s">
        <v>17</v>
      </c>
      <c r="S51" s="21">
        <f>P50*15+P52*5+P53*15+P54*12</f>
        <v>0</v>
      </c>
      <c r="T51" s="19" t="s">
        <v>18</v>
      </c>
      <c r="U51" s="22" t="e">
        <f>S51*4/S50</f>
        <v>#DIV/0!</v>
      </c>
      <c r="W51" s="16">
        <f>AB52</f>
        <v>121.12184873949579</v>
      </c>
      <c r="X51" s="6" t="s">
        <v>1</v>
      </c>
      <c r="Y51" s="7">
        <f>M51/20+G53/85+G54/35+E52/70</f>
        <v>7.4747899159663858</v>
      </c>
      <c r="Z51" s="8" t="s">
        <v>13</v>
      </c>
      <c r="AA51" s="9" t="s">
        <v>14</v>
      </c>
      <c r="AB51" s="10">
        <f>Y57</f>
        <v>867.53571428571422</v>
      </c>
      <c r="AC51" s="8" t="s">
        <v>15</v>
      </c>
      <c r="AD51" s="11" t="s">
        <v>16</v>
      </c>
    </row>
    <row r="52" spans="1:30" ht="16.149999999999999" customHeight="1">
      <c r="A52" s="259"/>
      <c r="B52" s="55" t="s">
        <v>35</v>
      </c>
      <c r="C52" s="56">
        <v>0.4</v>
      </c>
      <c r="D52" s="104" t="s">
        <v>90</v>
      </c>
      <c r="E52" s="128">
        <v>5</v>
      </c>
      <c r="F52" s="37" t="s">
        <v>145</v>
      </c>
      <c r="G52" s="126">
        <v>10</v>
      </c>
      <c r="H52" s="104"/>
      <c r="I52" s="64"/>
      <c r="J52" s="37" t="s">
        <v>145</v>
      </c>
      <c r="K52" s="64">
        <v>5</v>
      </c>
      <c r="L52" s="104"/>
      <c r="M52" s="128"/>
      <c r="N52" s="25" t="s">
        <v>19</v>
      </c>
      <c r="O52" s="26" t="s">
        <v>20</v>
      </c>
      <c r="P52" s="18">
        <v>0</v>
      </c>
      <c r="Q52" s="19" t="s">
        <v>13</v>
      </c>
      <c r="R52" s="20" t="s">
        <v>21</v>
      </c>
      <c r="S52" s="21">
        <f>P51*5+P54*4+P55*5</f>
        <v>0</v>
      </c>
      <c r="T52" s="19" t="s">
        <v>18</v>
      </c>
      <c r="U52" s="22" t="e">
        <f>S52*9/S50</f>
        <v>#DIV/0!</v>
      </c>
      <c r="W52" s="25" t="s">
        <v>19</v>
      </c>
      <c r="X52" s="17" t="s">
        <v>2</v>
      </c>
      <c r="Y52" s="18">
        <f>C51*0.6/40+E51/80</f>
        <v>2.85</v>
      </c>
      <c r="Z52" s="19" t="s">
        <v>13</v>
      </c>
      <c r="AA52" s="20" t="s">
        <v>17</v>
      </c>
      <c r="AB52" s="21">
        <f>Y51*15+Y53*5+Y54*15+Y55*12</f>
        <v>121.12184873949579</v>
      </c>
      <c r="AC52" s="19" t="s">
        <v>18</v>
      </c>
      <c r="AD52" s="22">
        <f>AB52*4/AB51</f>
        <v>0.55846391909857684</v>
      </c>
    </row>
    <row r="53" spans="1:30" ht="16.149999999999999" customHeight="1">
      <c r="A53" s="259"/>
      <c r="B53" s="112" t="s">
        <v>206</v>
      </c>
      <c r="C53" s="71">
        <v>0.1</v>
      </c>
      <c r="D53" s="104" t="s">
        <v>205</v>
      </c>
      <c r="E53" s="128">
        <v>1</v>
      </c>
      <c r="F53" s="37" t="s">
        <v>106</v>
      </c>
      <c r="G53" s="126">
        <v>10</v>
      </c>
      <c r="H53" s="115"/>
      <c r="I53" s="128"/>
      <c r="J53" s="23" t="s">
        <v>128</v>
      </c>
      <c r="K53" s="71">
        <v>3</v>
      </c>
      <c r="L53" s="115"/>
      <c r="M53" s="128"/>
      <c r="N53" s="16">
        <f>S52</f>
        <v>0</v>
      </c>
      <c r="O53" s="84" t="s">
        <v>22</v>
      </c>
      <c r="P53" s="29">
        <v>0</v>
      </c>
      <c r="Q53" s="19" t="s">
        <v>13</v>
      </c>
      <c r="R53" s="20" t="s">
        <v>23</v>
      </c>
      <c r="S53" s="21">
        <f>P50*2+P51*7+P52*1+P54*8</f>
        <v>0</v>
      </c>
      <c r="T53" s="19" t="s">
        <v>18</v>
      </c>
      <c r="U53" s="22" t="e">
        <f>S53*4/S50</f>
        <v>#DIV/0!</v>
      </c>
      <c r="W53" s="16">
        <f>AB53</f>
        <v>26.25</v>
      </c>
      <c r="X53" s="26" t="s">
        <v>20</v>
      </c>
      <c r="Y53" s="18">
        <f>(G52+G51+K51+K52+K55+I51+K54+K53+E54+E53)/100</f>
        <v>1.8</v>
      </c>
      <c r="Z53" s="19" t="s">
        <v>13</v>
      </c>
      <c r="AA53" s="20" t="s">
        <v>21</v>
      </c>
      <c r="AB53" s="21">
        <f>Y52*5+Y55*4+Y56*5</f>
        <v>26.25</v>
      </c>
      <c r="AC53" s="19" t="s">
        <v>18</v>
      </c>
      <c r="AD53" s="22">
        <f>AB53*9/AB51</f>
        <v>0.27232308262319377</v>
      </c>
    </row>
    <row r="54" spans="1:30" ht="16.149999999999999" customHeight="1">
      <c r="A54" s="259"/>
      <c r="B54" s="95"/>
      <c r="C54" s="94"/>
      <c r="D54" s="101" t="s">
        <v>145</v>
      </c>
      <c r="E54" s="100">
        <v>5</v>
      </c>
      <c r="F54" s="65" t="s">
        <v>207</v>
      </c>
      <c r="G54" s="126">
        <v>10</v>
      </c>
      <c r="H54" s="115"/>
      <c r="I54" s="128"/>
      <c r="J54" s="23" t="s">
        <v>87</v>
      </c>
      <c r="K54" s="71">
        <v>1</v>
      </c>
      <c r="L54" s="101"/>
      <c r="M54" s="100"/>
      <c r="N54" s="25" t="s">
        <v>24</v>
      </c>
      <c r="O54" s="28" t="s">
        <v>3</v>
      </c>
      <c r="P54" s="29">
        <v>0</v>
      </c>
      <c r="Q54" s="19" t="s">
        <v>13</v>
      </c>
      <c r="R54" s="32"/>
      <c r="S54" s="32"/>
      <c r="T54" s="32"/>
      <c r="U54" s="33" t="e">
        <f>SUM(U51:U53)</f>
        <v>#DIV/0!</v>
      </c>
      <c r="W54" s="25" t="s">
        <v>24</v>
      </c>
      <c r="X54" s="28" t="s">
        <v>22</v>
      </c>
      <c r="Y54" s="29">
        <v>0</v>
      </c>
      <c r="Z54" s="19" t="s">
        <v>13</v>
      </c>
      <c r="AA54" s="20" t="s">
        <v>23</v>
      </c>
      <c r="AB54" s="21">
        <f>Y51*2+Y52*7+Y53*1+Y55*8</f>
        <v>36.699579831932766</v>
      </c>
      <c r="AC54" s="19" t="s">
        <v>18</v>
      </c>
      <c r="AD54" s="22">
        <f>AB54*4/AB51</f>
        <v>0.16921299827822939</v>
      </c>
    </row>
    <row r="55" spans="1:30" ht="16.149999999999999" customHeight="1">
      <c r="A55" s="259" t="s">
        <v>25</v>
      </c>
      <c r="B55" s="95"/>
      <c r="C55" s="94"/>
      <c r="D55" s="101"/>
      <c r="E55" s="100"/>
      <c r="F55" s="99"/>
      <c r="G55" s="119"/>
      <c r="H55" s="115"/>
      <c r="I55" s="128"/>
      <c r="J55" s="31" t="s">
        <v>72</v>
      </c>
      <c r="K55" s="126">
        <v>5</v>
      </c>
      <c r="L55" s="115"/>
      <c r="M55" s="128"/>
      <c r="N55" s="16">
        <f>S53</f>
        <v>0</v>
      </c>
      <c r="O55" s="34" t="s">
        <v>26</v>
      </c>
      <c r="P55" s="29">
        <v>0</v>
      </c>
      <c r="Q55" s="19" t="s">
        <v>13</v>
      </c>
      <c r="R55" s="35"/>
      <c r="S55" s="35"/>
      <c r="T55" s="35"/>
      <c r="U55" s="36"/>
      <c r="W55" s="16">
        <f>AB54</f>
        <v>36.699579831932766</v>
      </c>
      <c r="X55" s="28" t="s">
        <v>3</v>
      </c>
      <c r="Y55" s="29">
        <v>0</v>
      </c>
      <c r="Z55" s="19" t="s">
        <v>13</v>
      </c>
      <c r="AA55" s="32"/>
      <c r="AB55" s="32"/>
      <c r="AC55" s="32"/>
      <c r="AD55" s="33">
        <f>SUM(AD52:AD54)</f>
        <v>1</v>
      </c>
    </row>
    <row r="56" spans="1:30" ht="16.149999999999999" customHeight="1" thickBot="1">
      <c r="A56" s="259"/>
      <c r="B56" s="95"/>
      <c r="C56" s="94"/>
      <c r="D56" s="101"/>
      <c r="E56" s="100"/>
      <c r="F56" s="12"/>
      <c r="G56" s="126"/>
      <c r="H56" s="115"/>
      <c r="I56" s="128"/>
      <c r="J56" s="53"/>
      <c r="K56" s="87"/>
      <c r="L56" s="115"/>
      <c r="M56" s="128"/>
      <c r="N56" s="25" t="s">
        <v>27</v>
      </c>
      <c r="O56" s="38" t="s">
        <v>28</v>
      </c>
      <c r="P56" s="39">
        <f>P50*68+P51*73+P52*24+P53*60+P54*112+P55*45</f>
        <v>0</v>
      </c>
      <c r="Q56" s="40" t="s">
        <v>15</v>
      </c>
      <c r="R56" s="41"/>
      <c r="S56" s="41"/>
      <c r="T56" s="41"/>
      <c r="U56" s="42"/>
      <c r="W56" s="25" t="s">
        <v>27</v>
      </c>
      <c r="X56" s="34" t="s">
        <v>26</v>
      </c>
      <c r="Y56" s="29">
        <v>2.4</v>
      </c>
      <c r="Z56" s="19" t="s">
        <v>13</v>
      </c>
      <c r="AA56" s="35"/>
      <c r="AB56" s="35"/>
      <c r="AC56" s="35"/>
      <c r="AD56" s="36"/>
    </row>
    <row r="57" spans="1:30" ht="16.149999999999999" customHeight="1" thickBot="1">
      <c r="A57" s="260"/>
      <c r="B57" s="261" t="s">
        <v>100</v>
      </c>
      <c r="C57" s="262"/>
      <c r="D57" s="273" t="s">
        <v>208</v>
      </c>
      <c r="E57" s="262"/>
      <c r="F57" s="261" t="s">
        <v>104</v>
      </c>
      <c r="G57" s="262"/>
      <c r="H57" s="261" t="s">
        <v>101</v>
      </c>
      <c r="I57" s="262"/>
      <c r="J57" s="261" t="s">
        <v>102</v>
      </c>
      <c r="K57" s="262"/>
      <c r="L57" s="261" t="s">
        <v>103</v>
      </c>
      <c r="M57" s="262"/>
      <c r="N57" s="43">
        <f>P56</f>
        <v>0</v>
      </c>
      <c r="O57" s="44"/>
      <c r="P57" s="45"/>
      <c r="Q57" s="45"/>
      <c r="R57" s="45"/>
      <c r="S57" s="45"/>
      <c r="T57" s="45"/>
      <c r="U57" s="46"/>
      <c r="W57" s="43">
        <f>Y57</f>
        <v>867.53571428571422</v>
      </c>
      <c r="X57" s="38" t="s">
        <v>28</v>
      </c>
      <c r="Y57" s="39">
        <f>Y51*68+Y52*73+Y53*24+Y54*60+Y55*112+Y56*45</f>
        <v>867.53571428571422</v>
      </c>
      <c r="Z57" s="40" t="s">
        <v>15</v>
      </c>
      <c r="AA57" s="41"/>
      <c r="AB57" s="41"/>
      <c r="AC57" s="41"/>
      <c r="AD57" s="42"/>
    </row>
    <row r="58" spans="1:30" ht="16.149999999999999" customHeight="1" thickBot="1">
      <c r="A58" s="263">
        <f>A50+1</f>
        <v>43893</v>
      </c>
      <c r="B58" s="268" t="s">
        <v>152</v>
      </c>
      <c r="C58" s="267"/>
      <c r="D58" s="274" t="s">
        <v>475</v>
      </c>
      <c r="E58" s="275"/>
      <c r="F58" s="264" t="s">
        <v>153</v>
      </c>
      <c r="G58" s="269"/>
      <c r="H58" s="264" t="s">
        <v>46</v>
      </c>
      <c r="I58" s="269"/>
      <c r="J58" s="268" t="s">
        <v>122</v>
      </c>
      <c r="K58" s="267"/>
      <c r="L58" s="276" t="s">
        <v>142</v>
      </c>
      <c r="M58" s="277"/>
      <c r="N58" s="5" t="s">
        <v>12</v>
      </c>
      <c r="O58" s="253" t="s">
        <v>29</v>
      </c>
      <c r="P58" s="254"/>
      <c r="Q58" s="255"/>
      <c r="R58" s="256" t="s">
        <v>30</v>
      </c>
      <c r="S58" s="257"/>
      <c r="T58" s="257"/>
      <c r="U58" s="258"/>
      <c r="W58" s="5" t="s">
        <v>12</v>
      </c>
      <c r="X58" s="253" t="s">
        <v>29</v>
      </c>
      <c r="Y58" s="254"/>
      <c r="Z58" s="255"/>
      <c r="AA58" s="256" t="s">
        <v>30</v>
      </c>
      <c r="AB58" s="257"/>
      <c r="AC58" s="257"/>
      <c r="AD58" s="258"/>
    </row>
    <row r="59" spans="1:30" ht="16.149999999999999" customHeight="1">
      <c r="A59" s="259"/>
      <c r="B59" s="102" t="s">
        <v>209</v>
      </c>
      <c r="C59" s="98">
        <v>70</v>
      </c>
      <c r="D59" s="173" t="s">
        <v>476</v>
      </c>
      <c r="E59" s="174">
        <v>20</v>
      </c>
      <c r="F59" s="110" t="s">
        <v>112</v>
      </c>
      <c r="G59" s="114">
        <v>20</v>
      </c>
      <c r="H59" s="108" t="s">
        <v>63</v>
      </c>
      <c r="I59" s="76">
        <v>100</v>
      </c>
      <c r="J59" s="61" t="s">
        <v>78</v>
      </c>
      <c r="K59" s="15">
        <v>30</v>
      </c>
      <c r="L59" s="61" t="s">
        <v>34</v>
      </c>
      <c r="M59" s="15">
        <v>140</v>
      </c>
      <c r="N59" s="16">
        <f>S60</f>
        <v>113.75</v>
      </c>
      <c r="O59" s="48" t="s">
        <v>1</v>
      </c>
      <c r="P59" s="29">
        <f>M59/20+M60/55</f>
        <v>7</v>
      </c>
      <c r="Q59" s="8" t="s">
        <v>13</v>
      </c>
      <c r="R59" s="49" t="s">
        <v>14</v>
      </c>
      <c r="S59" s="50" t="e">
        <f>P65</f>
        <v>#REF!</v>
      </c>
      <c r="T59" s="51" t="s">
        <v>15</v>
      </c>
      <c r="U59" s="52" t="s">
        <v>16</v>
      </c>
      <c r="W59" s="16">
        <f>AB60</f>
        <v>132.11848739495801</v>
      </c>
      <c r="X59" s="48" t="s">
        <v>1</v>
      </c>
      <c r="Y59" s="7">
        <f>M59/20+G60/85+G61/70+E59/20</f>
        <v>8.2478991596638664</v>
      </c>
      <c r="Z59" s="8" t="s">
        <v>13</v>
      </c>
      <c r="AA59" s="49" t="s">
        <v>14</v>
      </c>
      <c r="AB59" s="50">
        <f>Y65</f>
        <v>911.49142857142863</v>
      </c>
      <c r="AC59" s="51" t="s">
        <v>15</v>
      </c>
      <c r="AD59" s="52" t="s">
        <v>16</v>
      </c>
    </row>
    <row r="60" spans="1:30" ht="16.149999999999999" customHeight="1">
      <c r="A60" s="259"/>
      <c r="B60" s="101" t="s">
        <v>210</v>
      </c>
      <c r="C60" s="100">
        <v>1</v>
      </c>
      <c r="D60" s="106" t="s">
        <v>477</v>
      </c>
      <c r="E60" s="175">
        <v>20</v>
      </c>
      <c r="F60" s="104" t="s">
        <v>74</v>
      </c>
      <c r="G60" s="64">
        <v>15</v>
      </c>
      <c r="H60" s="104"/>
      <c r="I60" s="64"/>
      <c r="J60" s="104" t="s">
        <v>53</v>
      </c>
      <c r="K60" s="128">
        <v>10</v>
      </c>
      <c r="L60" s="104"/>
      <c r="M60" s="128"/>
      <c r="N60" s="25" t="s">
        <v>19</v>
      </c>
      <c r="O60" s="17" t="s">
        <v>2</v>
      </c>
      <c r="P60" s="18" t="e">
        <f>#REF!/35+E59/80+E60/225+E63/35+G60/55+K60*0.52/40</f>
        <v>#REF!</v>
      </c>
      <c r="Q60" s="19" t="s">
        <v>13</v>
      </c>
      <c r="R60" s="20" t="s">
        <v>17</v>
      </c>
      <c r="S60" s="21">
        <f>P59*15+P61*5+P62*15+P63*12</f>
        <v>113.75</v>
      </c>
      <c r="T60" s="19" t="s">
        <v>18</v>
      </c>
      <c r="U60" s="22" t="e">
        <f>S60*4/S59</f>
        <v>#REF!</v>
      </c>
      <c r="W60" s="25" t="s">
        <v>19</v>
      </c>
      <c r="X60" s="17" t="s">
        <v>2</v>
      </c>
      <c r="Y60" s="18">
        <f>C59/35+K60*0.6/30+E63/40+G59/35</f>
        <v>2.7714285714285714</v>
      </c>
      <c r="Z60" s="19" t="s">
        <v>13</v>
      </c>
      <c r="AA60" s="20" t="s">
        <v>17</v>
      </c>
      <c r="AB60" s="21">
        <f>Y59*15+Y61*5+Y62*15+Y63*12</f>
        <v>132.11848739495801</v>
      </c>
      <c r="AC60" s="19" t="s">
        <v>18</v>
      </c>
      <c r="AD60" s="22">
        <f>AB60*4/AB59</f>
        <v>0.57979036666104911</v>
      </c>
    </row>
    <row r="61" spans="1:30" ht="16.149999999999999" customHeight="1">
      <c r="A61" s="259"/>
      <c r="B61" s="104"/>
      <c r="C61" s="128"/>
      <c r="D61" s="177" t="s">
        <v>478</v>
      </c>
      <c r="E61" s="175">
        <v>5</v>
      </c>
      <c r="F61" s="113" t="s">
        <v>90</v>
      </c>
      <c r="G61" s="114">
        <v>5</v>
      </c>
      <c r="H61" s="115"/>
      <c r="I61" s="128"/>
      <c r="J61" s="59" t="s">
        <v>35</v>
      </c>
      <c r="K61" s="54">
        <v>0.4</v>
      </c>
      <c r="L61" s="115"/>
      <c r="M61" s="128"/>
      <c r="N61" s="16" t="e">
        <f>S61</f>
        <v>#REF!</v>
      </c>
      <c r="O61" s="26" t="s">
        <v>20</v>
      </c>
      <c r="P61" s="18">
        <f>(E60+E61+G59+I59+I60+K59)/100</f>
        <v>1.75</v>
      </c>
      <c r="Q61" s="19" t="s">
        <v>13</v>
      </c>
      <c r="R61" s="20" t="s">
        <v>21</v>
      </c>
      <c r="S61" s="21" t="e">
        <f>P60*5+P63*4+P64*5</f>
        <v>#REF!</v>
      </c>
      <c r="T61" s="19" t="s">
        <v>18</v>
      </c>
      <c r="U61" s="22" t="e">
        <f>S61*9/S59</f>
        <v>#REF!</v>
      </c>
      <c r="W61" s="16">
        <f>AB61</f>
        <v>25.857142857142858</v>
      </c>
      <c r="X61" s="26" t="s">
        <v>20</v>
      </c>
      <c r="Y61" s="18">
        <f>(I59+K59+E61+E60+E62+E63+G62+G63)/100</f>
        <v>1.68</v>
      </c>
      <c r="Z61" s="19" t="s">
        <v>13</v>
      </c>
      <c r="AA61" s="20" t="s">
        <v>21</v>
      </c>
      <c r="AB61" s="21">
        <f>Y60*5+Y63*4+Y64*5</f>
        <v>25.857142857142858</v>
      </c>
      <c r="AC61" s="19" t="s">
        <v>18</v>
      </c>
      <c r="AD61" s="22">
        <f>AB61*9/AB59</f>
        <v>0.25531154591219413</v>
      </c>
    </row>
    <row r="62" spans="1:30" ht="16.149999999999999" customHeight="1">
      <c r="A62" s="259"/>
      <c r="B62" s="146"/>
      <c r="C62" s="147"/>
      <c r="D62" s="178" t="s">
        <v>479</v>
      </c>
      <c r="E62" s="179">
        <v>3</v>
      </c>
      <c r="F62" s="115" t="s">
        <v>145</v>
      </c>
      <c r="G62" s="128">
        <v>5</v>
      </c>
      <c r="H62" s="115"/>
      <c r="I62" s="128"/>
      <c r="J62" s="115"/>
      <c r="K62" s="128"/>
      <c r="L62" s="101"/>
      <c r="M62" s="100"/>
      <c r="N62" s="25" t="s">
        <v>24</v>
      </c>
      <c r="O62" s="84" t="s">
        <v>22</v>
      </c>
      <c r="P62" s="29">
        <v>0</v>
      </c>
      <c r="Q62" s="19" t="s">
        <v>13</v>
      </c>
      <c r="R62" s="20" t="s">
        <v>23</v>
      </c>
      <c r="S62" s="21" t="e">
        <f>P59*2+P60*7+P61*1+P63*8</f>
        <v>#REF!</v>
      </c>
      <c r="T62" s="19" t="s">
        <v>18</v>
      </c>
      <c r="U62" s="22" t="e">
        <f>S62*4/S59</f>
        <v>#REF!</v>
      </c>
      <c r="W62" s="25" t="s">
        <v>24</v>
      </c>
      <c r="X62" s="28" t="s">
        <v>22</v>
      </c>
      <c r="Y62" s="29">
        <v>0</v>
      </c>
      <c r="Z62" s="19" t="s">
        <v>13</v>
      </c>
      <c r="AA62" s="20" t="s">
        <v>23</v>
      </c>
      <c r="AB62" s="21">
        <f>Y59*2+Y60*7+Y61*1+Y63*8</f>
        <v>37.575798319327731</v>
      </c>
      <c r="AC62" s="19" t="s">
        <v>18</v>
      </c>
      <c r="AD62" s="22">
        <f>AB62*4/AB59</f>
        <v>0.16489808742675685</v>
      </c>
    </row>
    <row r="63" spans="1:30" ht="16.149999999999999" customHeight="1">
      <c r="A63" s="259" t="s">
        <v>31</v>
      </c>
      <c r="B63" s="146"/>
      <c r="C63" s="147"/>
      <c r="D63" s="180"/>
      <c r="E63" s="181"/>
      <c r="F63" s="146" t="s">
        <v>54</v>
      </c>
      <c r="G63" s="148">
        <v>5</v>
      </c>
      <c r="H63" s="115"/>
      <c r="I63" s="128"/>
      <c r="J63" s="104"/>
      <c r="K63" s="128"/>
      <c r="L63" s="115"/>
      <c r="M63" s="128"/>
      <c r="N63" s="16" t="e">
        <f>S62</f>
        <v>#REF!</v>
      </c>
      <c r="O63" s="28" t="s">
        <v>3</v>
      </c>
      <c r="P63" s="29">
        <v>0</v>
      </c>
      <c r="Q63" s="19" t="s">
        <v>13</v>
      </c>
      <c r="R63" s="32"/>
      <c r="S63" s="32"/>
      <c r="T63" s="32"/>
      <c r="U63" s="33" t="e">
        <f>SUM(U60:U62)</f>
        <v>#REF!</v>
      </c>
      <c r="W63" s="16">
        <f>AB62</f>
        <v>37.575798319327731</v>
      </c>
      <c r="X63" s="28" t="s">
        <v>3</v>
      </c>
      <c r="Y63" s="29">
        <v>0</v>
      </c>
      <c r="Z63" s="19" t="s">
        <v>13</v>
      </c>
      <c r="AA63" s="32"/>
      <c r="AB63" s="32"/>
      <c r="AC63" s="32"/>
      <c r="AD63" s="33">
        <f>SUM(AD60:AD62)</f>
        <v>1.0000000000000002</v>
      </c>
    </row>
    <row r="64" spans="1:30" ht="16.149999999999999" customHeight="1">
      <c r="A64" s="259"/>
      <c r="B64" s="146"/>
      <c r="C64" s="147"/>
      <c r="D64" s="106"/>
      <c r="E64" s="182"/>
      <c r="F64" s="104"/>
      <c r="G64" s="128"/>
      <c r="H64" s="115"/>
      <c r="I64" s="128"/>
      <c r="J64" s="115"/>
      <c r="K64" s="128"/>
      <c r="L64" s="115"/>
      <c r="M64" s="128"/>
      <c r="N64" s="25" t="s">
        <v>27</v>
      </c>
      <c r="O64" s="34" t="s">
        <v>26</v>
      </c>
      <c r="P64" s="29">
        <v>2.5</v>
      </c>
      <c r="Q64" s="19" t="s">
        <v>13</v>
      </c>
      <c r="R64" s="35"/>
      <c r="S64" s="35"/>
      <c r="T64" s="35"/>
      <c r="U64" s="36"/>
      <c r="W64" s="25" t="s">
        <v>27</v>
      </c>
      <c r="X64" s="34" t="s">
        <v>26</v>
      </c>
      <c r="Y64" s="29">
        <v>2.4</v>
      </c>
      <c r="Z64" s="19" t="s">
        <v>13</v>
      </c>
      <c r="AA64" s="35"/>
      <c r="AB64" s="35"/>
      <c r="AC64" s="35"/>
      <c r="AD64" s="36"/>
    </row>
    <row r="65" spans="1:30" ht="16.149999999999999" customHeight="1" thickBot="1">
      <c r="A65" s="260"/>
      <c r="B65" s="261" t="s">
        <v>102</v>
      </c>
      <c r="C65" s="262"/>
      <c r="D65" s="261" t="s">
        <v>102</v>
      </c>
      <c r="E65" s="262"/>
      <c r="F65" s="261" t="s">
        <v>99</v>
      </c>
      <c r="G65" s="262"/>
      <c r="H65" s="261" t="s">
        <v>101</v>
      </c>
      <c r="I65" s="262"/>
      <c r="J65" s="261" t="s">
        <v>102</v>
      </c>
      <c r="K65" s="262"/>
      <c r="L65" s="261" t="s">
        <v>103</v>
      </c>
      <c r="M65" s="262"/>
      <c r="N65" s="43" t="e">
        <f>P65</f>
        <v>#REF!</v>
      </c>
      <c r="O65" s="38" t="s">
        <v>28</v>
      </c>
      <c r="P65" s="39" t="e">
        <f>P59*68+P60*73+P61*24+P62*60+P63*112+P64*45</f>
        <v>#REF!</v>
      </c>
      <c r="Q65" s="40" t="s">
        <v>15</v>
      </c>
      <c r="R65" s="41"/>
      <c r="S65" s="41"/>
      <c r="T65" s="41"/>
      <c r="U65" s="42"/>
      <c r="W65" s="43">
        <f>Y65</f>
        <v>911.49142857142863</v>
      </c>
      <c r="X65" s="38" t="s">
        <v>28</v>
      </c>
      <c r="Y65" s="39">
        <f>Y59*68+Y60*73+Y61*24+Y62*60+Y63*112+Y64*45</f>
        <v>911.49142857142863</v>
      </c>
      <c r="Z65" s="40" t="s">
        <v>15</v>
      </c>
      <c r="AA65" s="41"/>
      <c r="AB65" s="41"/>
      <c r="AC65" s="41"/>
      <c r="AD65" s="42"/>
    </row>
    <row r="66" spans="1:30" ht="16.149999999999999" customHeight="1" thickBot="1">
      <c r="A66" s="263">
        <f>A58+1</f>
        <v>43894</v>
      </c>
      <c r="B66" s="268" t="s">
        <v>154</v>
      </c>
      <c r="C66" s="270"/>
      <c r="D66" s="268" t="s">
        <v>282</v>
      </c>
      <c r="E66" s="270"/>
      <c r="F66" s="268" t="s">
        <v>155</v>
      </c>
      <c r="G66" s="267"/>
      <c r="H66" s="268" t="s">
        <v>48</v>
      </c>
      <c r="I66" s="267"/>
      <c r="J66" s="264" t="s">
        <v>96</v>
      </c>
      <c r="K66" s="269"/>
      <c r="L66" s="276" t="s">
        <v>142</v>
      </c>
      <c r="M66" s="277"/>
      <c r="N66" s="5" t="s">
        <v>12</v>
      </c>
      <c r="O66" s="253" t="s">
        <v>29</v>
      </c>
      <c r="P66" s="254"/>
      <c r="Q66" s="255"/>
      <c r="R66" s="256" t="s">
        <v>30</v>
      </c>
      <c r="S66" s="257"/>
      <c r="T66" s="257"/>
      <c r="U66" s="258"/>
      <c r="W66" s="5" t="s">
        <v>12</v>
      </c>
      <c r="X66" s="253" t="s">
        <v>29</v>
      </c>
      <c r="Y66" s="254"/>
      <c r="Z66" s="255"/>
      <c r="AA66" s="256" t="s">
        <v>30</v>
      </c>
      <c r="AB66" s="257"/>
      <c r="AC66" s="257"/>
      <c r="AD66" s="258"/>
    </row>
    <row r="67" spans="1:30" ht="16.149999999999999" customHeight="1">
      <c r="A67" s="259"/>
      <c r="B67" s="104" t="s">
        <v>108</v>
      </c>
      <c r="C67" s="126">
        <v>65</v>
      </c>
      <c r="D67" s="104" t="s">
        <v>51</v>
      </c>
      <c r="E67" s="128">
        <v>30</v>
      </c>
      <c r="F67" s="61" t="s">
        <v>94</v>
      </c>
      <c r="G67" s="111">
        <v>30</v>
      </c>
      <c r="H67" s="93" t="s">
        <v>57</v>
      </c>
      <c r="I67" s="76">
        <v>100</v>
      </c>
      <c r="J67" s="149" t="s">
        <v>91</v>
      </c>
      <c r="K67" s="15">
        <v>3</v>
      </c>
      <c r="L67" s="61" t="s">
        <v>34</v>
      </c>
      <c r="M67" s="15">
        <v>150</v>
      </c>
      <c r="N67" s="16">
        <f>S68</f>
        <v>122.6</v>
      </c>
      <c r="O67" s="48" t="s">
        <v>1</v>
      </c>
      <c r="P67" s="7">
        <f>M67/20+E70/2/30</f>
        <v>7.5</v>
      </c>
      <c r="Q67" s="8" t="s">
        <v>13</v>
      </c>
      <c r="R67" s="49" t="s">
        <v>14</v>
      </c>
      <c r="S67" s="50" t="e">
        <f>P73</f>
        <v>#REF!</v>
      </c>
      <c r="T67" s="51" t="s">
        <v>15</v>
      </c>
      <c r="U67" s="58"/>
      <c r="W67" s="16">
        <f>AB68</f>
        <v>119.505</v>
      </c>
      <c r="X67" s="48" t="s">
        <v>1</v>
      </c>
      <c r="Y67" s="7">
        <f>M67/20</f>
        <v>7.5</v>
      </c>
      <c r="Z67" s="8" t="s">
        <v>13</v>
      </c>
      <c r="AA67" s="49" t="s">
        <v>14</v>
      </c>
      <c r="AB67" s="50">
        <f>Y73</f>
        <v>867.77984415584422</v>
      </c>
      <c r="AC67" s="51" t="s">
        <v>15</v>
      </c>
      <c r="AD67" s="58"/>
    </row>
    <row r="68" spans="1:30" ht="16.149999999999999" customHeight="1">
      <c r="A68" s="259"/>
      <c r="B68" s="55"/>
      <c r="C68" s="56"/>
      <c r="D68" s="101" t="s">
        <v>47</v>
      </c>
      <c r="E68" s="100">
        <v>8</v>
      </c>
      <c r="F68" s="146" t="s">
        <v>71</v>
      </c>
      <c r="G68" s="150">
        <v>20</v>
      </c>
      <c r="H68" s="31"/>
      <c r="I68" s="54"/>
      <c r="J68" s="31" t="s">
        <v>51</v>
      </c>
      <c r="K68" s="128">
        <v>15</v>
      </c>
      <c r="L68" s="104"/>
      <c r="M68" s="128"/>
      <c r="N68" s="25" t="s">
        <v>19</v>
      </c>
      <c r="O68" s="17" t="s">
        <v>2</v>
      </c>
      <c r="P68" s="18" t="e">
        <f>#REF!*0.92/35+E69/35+E70/2/35+G69/35+K68/35</f>
        <v>#REF!</v>
      </c>
      <c r="Q68" s="19" t="s">
        <v>13</v>
      </c>
      <c r="R68" s="20" t="s">
        <v>17</v>
      </c>
      <c r="S68" s="21">
        <f>P67*15+P69*5+P70*15+P71*12</f>
        <v>122.6</v>
      </c>
      <c r="T68" s="19" t="s">
        <v>18</v>
      </c>
      <c r="U68" s="22" t="e">
        <f>S68*4/S67</f>
        <v>#REF!</v>
      </c>
      <c r="W68" s="25" t="s">
        <v>19</v>
      </c>
      <c r="X68" s="17" t="s">
        <v>2</v>
      </c>
      <c r="Y68" s="18">
        <f>C67/35+K68/55+E67/55+G70/35</f>
        <v>2.9610389610389611</v>
      </c>
      <c r="Z68" s="19" t="s">
        <v>13</v>
      </c>
      <c r="AA68" s="20" t="s">
        <v>17</v>
      </c>
      <c r="AB68" s="21">
        <f>Y67*15+Y69*5+Y70*15+Y71*12</f>
        <v>119.505</v>
      </c>
      <c r="AC68" s="19" t="s">
        <v>18</v>
      </c>
      <c r="AD68" s="22">
        <f>AB68*4/AB67</f>
        <v>0.55085400199057011</v>
      </c>
    </row>
    <row r="69" spans="1:30" ht="16.149999999999999" customHeight="1">
      <c r="A69" s="259"/>
      <c r="B69" s="23"/>
      <c r="C69" s="24"/>
      <c r="D69" s="104" t="s">
        <v>205</v>
      </c>
      <c r="E69" s="128">
        <v>0.1</v>
      </c>
      <c r="F69" s="113" t="s">
        <v>145</v>
      </c>
      <c r="G69" s="91">
        <v>5</v>
      </c>
      <c r="H69" s="31"/>
      <c r="I69" s="128"/>
      <c r="J69" s="67" t="s">
        <v>56</v>
      </c>
      <c r="K69" s="24">
        <v>1</v>
      </c>
      <c r="L69" s="115"/>
      <c r="M69" s="128"/>
      <c r="N69" s="16" t="e">
        <f>S69</f>
        <v>#REF!</v>
      </c>
      <c r="O69" s="26" t="s">
        <v>20</v>
      </c>
      <c r="P69" s="18">
        <f>(K69+I67+G67+G68+G70+G71+E67+E68+E71+E72)/100</f>
        <v>2.02</v>
      </c>
      <c r="Q69" s="19" t="s">
        <v>13</v>
      </c>
      <c r="R69" s="20" t="s">
        <v>21</v>
      </c>
      <c r="S69" s="21" t="e">
        <f>P68*5+P71*4+P72*5</f>
        <v>#REF!</v>
      </c>
      <c r="T69" s="19" t="s">
        <v>18</v>
      </c>
      <c r="U69" s="22" t="e">
        <f>S69*9/S67</f>
        <v>#REF!</v>
      </c>
      <c r="W69" s="16">
        <f>AB69</f>
        <v>26.805194805194805</v>
      </c>
      <c r="X69" s="151" t="s">
        <v>20</v>
      </c>
      <c r="Y69" s="18">
        <f>(E69+E68+G68+G69+I67+K67+G71+K69)/100</f>
        <v>1.401</v>
      </c>
      <c r="Z69" s="19" t="s">
        <v>13</v>
      </c>
      <c r="AA69" s="20" t="s">
        <v>21</v>
      </c>
      <c r="AB69" s="21">
        <f>Y68*5+Y71*4+Y72*5</f>
        <v>26.805194805194805</v>
      </c>
      <c r="AC69" s="19" t="s">
        <v>18</v>
      </c>
      <c r="AD69" s="22">
        <f>AB69*9/AB67</f>
        <v>0.27800455941844604</v>
      </c>
    </row>
    <row r="70" spans="1:30" ht="16.149999999999999" customHeight="1">
      <c r="A70" s="259"/>
      <c r="B70" s="23"/>
      <c r="C70" s="24"/>
      <c r="D70" s="146"/>
      <c r="E70" s="147"/>
      <c r="F70" s="104" t="s">
        <v>213</v>
      </c>
      <c r="G70" s="126">
        <v>10</v>
      </c>
      <c r="H70" s="31"/>
      <c r="I70" s="128"/>
      <c r="J70" s="31"/>
      <c r="K70" s="126"/>
      <c r="L70" s="101"/>
      <c r="M70" s="100"/>
      <c r="N70" s="25" t="s">
        <v>24</v>
      </c>
      <c r="O70" s="84" t="s">
        <v>22</v>
      </c>
      <c r="P70" s="29">
        <v>0</v>
      </c>
      <c r="Q70" s="19" t="s">
        <v>13</v>
      </c>
      <c r="R70" s="20" t="s">
        <v>23</v>
      </c>
      <c r="S70" s="21" t="e">
        <f>P67*2+P68*7+P69*1+P71*8</f>
        <v>#REF!</v>
      </c>
      <c r="T70" s="19" t="s">
        <v>18</v>
      </c>
      <c r="U70" s="22" t="e">
        <f>S70*4/S67</f>
        <v>#REF!</v>
      </c>
      <c r="W70" s="25" t="s">
        <v>24</v>
      </c>
      <c r="X70" s="28" t="s">
        <v>22</v>
      </c>
      <c r="Y70" s="29">
        <v>0</v>
      </c>
      <c r="Z70" s="19" t="s">
        <v>13</v>
      </c>
      <c r="AA70" s="20" t="s">
        <v>23</v>
      </c>
      <c r="AB70" s="21">
        <f>Y67*2+Y68*7+Y69*1+Y71*8</f>
        <v>37.12827272727273</v>
      </c>
      <c r="AC70" s="19" t="s">
        <v>18</v>
      </c>
      <c r="AD70" s="22">
        <f>AB70*4/AB67</f>
        <v>0.17114143859098382</v>
      </c>
    </row>
    <row r="71" spans="1:30" ht="16.149999999999999" customHeight="1">
      <c r="A71" s="259" t="s">
        <v>32</v>
      </c>
      <c r="B71" s="101"/>
      <c r="C71" s="100"/>
      <c r="D71" s="146"/>
      <c r="E71" s="147"/>
      <c r="F71" s="104" t="s">
        <v>54</v>
      </c>
      <c r="G71" s="126">
        <v>3</v>
      </c>
      <c r="H71" s="31"/>
      <c r="I71" s="128"/>
      <c r="J71" s="78"/>
      <c r="K71" s="71"/>
      <c r="L71" s="115"/>
      <c r="M71" s="128"/>
      <c r="N71" s="16" t="e">
        <f>S70</f>
        <v>#REF!</v>
      </c>
      <c r="O71" s="28" t="s">
        <v>3</v>
      </c>
      <c r="P71" s="29">
        <v>0</v>
      </c>
      <c r="Q71" s="19" t="s">
        <v>13</v>
      </c>
      <c r="R71" s="32"/>
      <c r="S71" s="32"/>
      <c r="T71" s="32"/>
      <c r="U71" s="33" t="e">
        <f>SUM(U68:U70)</f>
        <v>#REF!</v>
      </c>
      <c r="W71" s="16">
        <f>AB70</f>
        <v>37.12827272727273</v>
      </c>
      <c r="X71" s="28" t="s">
        <v>3</v>
      </c>
      <c r="Y71" s="29">
        <v>0</v>
      </c>
      <c r="Z71" s="19" t="s">
        <v>13</v>
      </c>
      <c r="AA71" s="32"/>
      <c r="AB71" s="32"/>
      <c r="AC71" s="32"/>
      <c r="AD71" s="33">
        <f>SUM(AD68:AD70)</f>
        <v>1</v>
      </c>
    </row>
    <row r="72" spans="1:30" ht="16.149999999999999" customHeight="1">
      <c r="A72" s="259"/>
      <c r="B72" s="101"/>
      <c r="C72" s="100"/>
      <c r="D72" s="146"/>
      <c r="E72" s="147"/>
      <c r="F72" s="101"/>
      <c r="G72" s="100"/>
      <c r="H72" s="37"/>
      <c r="I72" s="27"/>
      <c r="J72" s="55"/>
      <c r="K72" s="63"/>
      <c r="L72" s="115"/>
      <c r="M72" s="128"/>
      <c r="N72" s="25" t="s">
        <v>27</v>
      </c>
      <c r="O72" s="34" t="s">
        <v>26</v>
      </c>
      <c r="P72" s="29">
        <v>2.5</v>
      </c>
      <c r="Q72" s="19" t="s">
        <v>13</v>
      </c>
      <c r="R72" s="35"/>
      <c r="S72" s="35"/>
      <c r="T72" s="35"/>
      <c r="U72" s="36"/>
      <c r="W72" s="25" t="s">
        <v>27</v>
      </c>
      <c r="X72" s="34" t="s">
        <v>26</v>
      </c>
      <c r="Y72" s="29">
        <v>2.4</v>
      </c>
      <c r="Z72" s="19" t="s">
        <v>13</v>
      </c>
      <c r="AA72" s="35"/>
      <c r="AB72" s="35"/>
      <c r="AC72" s="35"/>
      <c r="AD72" s="36"/>
    </row>
    <row r="73" spans="1:30" ht="16.149999999999999" customHeight="1" thickBot="1">
      <c r="A73" s="260"/>
      <c r="B73" s="261" t="s">
        <v>114</v>
      </c>
      <c r="C73" s="262"/>
      <c r="D73" s="261" t="s">
        <v>103</v>
      </c>
      <c r="E73" s="262"/>
      <c r="F73" s="261" t="s">
        <v>99</v>
      </c>
      <c r="G73" s="262"/>
      <c r="H73" s="273" t="s">
        <v>101</v>
      </c>
      <c r="I73" s="262"/>
      <c r="J73" s="261" t="s">
        <v>102</v>
      </c>
      <c r="K73" s="262"/>
      <c r="L73" s="261" t="s">
        <v>103</v>
      </c>
      <c r="M73" s="262"/>
      <c r="N73" s="43" t="e">
        <f>P73</f>
        <v>#REF!</v>
      </c>
      <c r="O73" s="38" t="s">
        <v>28</v>
      </c>
      <c r="P73" s="39" t="e">
        <f>P67*68+P68*73+P69*24+P70*60+P71*112+P72*45</f>
        <v>#REF!</v>
      </c>
      <c r="Q73" s="40" t="s">
        <v>15</v>
      </c>
      <c r="R73" s="41"/>
      <c r="S73" s="41"/>
      <c r="T73" s="41"/>
      <c r="U73" s="42"/>
      <c r="W73" s="43">
        <f>Y73</f>
        <v>867.77984415584422</v>
      </c>
      <c r="X73" s="38" t="s">
        <v>28</v>
      </c>
      <c r="Y73" s="39">
        <f>Y67*68+Y68*73+Y69*24+Y70*60+Y71*112+Y72*45</f>
        <v>867.77984415584422</v>
      </c>
      <c r="Z73" s="40" t="s">
        <v>15</v>
      </c>
      <c r="AA73" s="41"/>
      <c r="AB73" s="41"/>
      <c r="AC73" s="41"/>
      <c r="AD73" s="42"/>
    </row>
    <row r="74" spans="1:30" ht="16.149999999999999" customHeight="1" thickBot="1">
      <c r="A74" s="263">
        <f>A66+1</f>
        <v>43895</v>
      </c>
      <c r="B74" s="268" t="s">
        <v>156</v>
      </c>
      <c r="C74" s="270"/>
      <c r="D74" s="268" t="s">
        <v>157</v>
      </c>
      <c r="E74" s="267"/>
      <c r="F74" s="264" t="s">
        <v>92</v>
      </c>
      <c r="G74" s="269"/>
      <c r="H74" s="264" t="s">
        <v>33</v>
      </c>
      <c r="I74" s="269"/>
      <c r="J74" s="264" t="s">
        <v>158</v>
      </c>
      <c r="K74" s="269"/>
      <c r="L74" s="276" t="s">
        <v>142</v>
      </c>
      <c r="M74" s="277"/>
      <c r="N74" s="5" t="s">
        <v>12</v>
      </c>
      <c r="O74" s="253" t="s">
        <v>29</v>
      </c>
      <c r="P74" s="254"/>
      <c r="Q74" s="255"/>
      <c r="R74" s="256" t="s">
        <v>30</v>
      </c>
      <c r="S74" s="257"/>
      <c r="T74" s="257"/>
      <c r="U74" s="258"/>
      <c r="W74" s="5" t="s">
        <v>12</v>
      </c>
      <c r="X74" s="253" t="s">
        <v>29</v>
      </c>
      <c r="Y74" s="254"/>
      <c r="Z74" s="255"/>
      <c r="AA74" s="256" t="s">
        <v>30</v>
      </c>
      <c r="AB74" s="257"/>
      <c r="AC74" s="257"/>
      <c r="AD74" s="258"/>
    </row>
    <row r="75" spans="1:30" ht="16.149999999999999" customHeight="1">
      <c r="A75" s="259"/>
      <c r="B75" s="104" t="s">
        <v>132</v>
      </c>
      <c r="C75" s="126">
        <v>100</v>
      </c>
      <c r="D75" s="57" t="s">
        <v>84</v>
      </c>
      <c r="E75" s="47">
        <v>40</v>
      </c>
      <c r="F75" s="61" t="s">
        <v>66</v>
      </c>
      <c r="G75" s="15">
        <v>45</v>
      </c>
      <c r="H75" s="110" t="s">
        <v>45</v>
      </c>
      <c r="I75" s="13">
        <v>100</v>
      </c>
      <c r="J75" s="97" t="s">
        <v>146</v>
      </c>
      <c r="K75" s="98">
        <v>20</v>
      </c>
      <c r="L75" s="61" t="s">
        <v>34</v>
      </c>
      <c r="M75" s="15">
        <v>150</v>
      </c>
      <c r="N75" s="16">
        <f>S76</f>
        <v>122.48571428571428</v>
      </c>
      <c r="O75" s="48" t="s">
        <v>1</v>
      </c>
      <c r="P75" s="7">
        <f>M75/20+K77/70</f>
        <v>7.5057142857142853</v>
      </c>
      <c r="Q75" s="8" t="s">
        <v>13</v>
      </c>
      <c r="R75" s="49" t="s">
        <v>14</v>
      </c>
      <c r="S75" s="50">
        <f>P81</f>
        <v>868.45662337662338</v>
      </c>
      <c r="T75" s="51" t="s">
        <v>15</v>
      </c>
      <c r="U75" s="52" t="s">
        <v>16</v>
      </c>
      <c r="W75" s="16">
        <f>AB76</f>
        <v>121.7</v>
      </c>
      <c r="X75" s="48" t="s">
        <v>1</v>
      </c>
      <c r="Y75" s="7">
        <f>M75/20</f>
        <v>7.5</v>
      </c>
      <c r="Z75" s="8" t="s">
        <v>13</v>
      </c>
      <c r="AA75" s="49" t="s">
        <v>14</v>
      </c>
      <c r="AB75" s="50">
        <f>Y81</f>
        <v>869.02493506493499</v>
      </c>
      <c r="AC75" s="51" t="s">
        <v>15</v>
      </c>
      <c r="AD75" s="52" t="s">
        <v>16</v>
      </c>
    </row>
    <row r="76" spans="1:30" ht="16.149999999999999" customHeight="1">
      <c r="A76" s="259"/>
      <c r="B76" s="55" t="s">
        <v>35</v>
      </c>
      <c r="C76" s="56">
        <v>0.4</v>
      </c>
      <c r="D76" s="23" t="s">
        <v>136</v>
      </c>
      <c r="E76" s="126">
        <v>10</v>
      </c>
      <c r="F76" s="104" t="s">
        <v>69</v>
      </c>
      <c r="G76" s="128">
        <v>15</v>
      </c>
      <c r="H76" s="55"/>
      <c r="I76" s="63"/>
      <c r="J76" s="65" t="s">
        <v>73</v>
      </c>
      <c r="K76" s="24">
        <v>10</v>
      </c>
      <c r="L76" s="104"/>
      <c r="M76" s="128"/>
      <c r="N76" s="25" t="s">
        <v>19</v>
      </c>
      <c r="O76" s="17" t="s">
        <v>2</v>
      </c>
      <c r="P76" s="18">
        <f>C75*0.68/40+E75/55+E76/35</f>
        <v>2.7129870129870128</v>
      </c>
      <c r="Q76" s="19" t="s">
        <v>13</v>
      </c>
      <c r="R76" s="20" t="s">
        <v>17</v>
      </c>
      <c r="S76" s="21">
        <f>P75*15+P77*5+P78*15+P79*12</f>
        <v>122.48571428571428</v>
      </c>
      <c r="T76" s="19" t="s">
        <v>18</v>
      </c>
      <c r="U76" s="22">
        <f>S76*4/S75</f>
        <v>0.56415351550653525</v>
      </c>
      <c r="W76" s="25" t="s">
        <v>19</v>
      </c>
      <c r="X76" s="17" t="s">
        <v>2</v>
      </c>
      <c r="Y76" s="18">
        <f>C75*0.6/40+E78/35+K76*0.6/35+E76/110+G76/35+E75/80</f>
        <v>2.8337662337662337</v>
      </c>
      <c r="Z76" s="19" t="s">
        <v>13</v>
      </c>
      <c r="AA76" s="20" t="s">
        <v>17</v>
      </c>
      <c r="AB76" s="21">
        <f>Y75*15+Y77*5+Y78*15+Y79*12</f>
        <v>121.7</v>
      </c>
      <c r="AC76" s="19" t="s">
        <v>18</v>
      </c>
      <c r="AD76" s="22">
        <f>AB76*4/AB75</f>
        <v>0.56016804622945082</v>
      </c>
    </row>
    <row r="77" spans="1:30" ht="16.149999999999999" customHeight="1">
      <c r="A77" s="259"/>
      <c r="B77" s="23"/>
      <c r="C77" s="24"/>
      <c r="D77" s="104" t="s">
        <v>70</v>
      </c>
      <c r="E77" s="126">
        <v>10</v>
      </c>
      <c r="F77" s="104" t="s">
        <v>54</v>
      </c>
      <c r="G77" s="128">
        <v>5</v>
      </c>
      <c r="H77" s="12"/>
      <c r="I77" s="126"/>
      <c r="J77" s="59" t="s">
        <v>35</v>
      </c>
      <c r="K77" s="54">
        <v>0.4</v>
      </c>
      <c r="L77" s="115"/>
      <c r="M77" s="128"/>
      <c r="N77" s="16">
        <f>S77</f>
        <v>26.064935064935064</v>
      </c>
      <c r="O77" s="26" t="s">
        <v>20</v>
      </c>
      <c r="P77" s="18">
        <f>(K75+K76+G79+G78+G75+G76+G77+I75+G80)/100</f>
        <v>1.98</v>
      </c>
      <c r="Q77" s="19" t="s">
        <v>13</v>
      </c>
      <c r="R77" s="20" t="s">
        <v>21</v>
      </c>
      <c r="S77" s="21">
        <f>P76*5+P79*4+P80*5</f>
        <v>26.064935064935064</v>
      </c>
      <c r="T77" s="19" t="s">
        <v>18</v>
      </c>
      <c r="U77" s="22">
        <f>S77*9/S75</f>
        <v>0.27011644481716779</v>
      </c>
      <c r="W77" s="16">
        <f>AB77</f>
        <v>26.168831168831169</v>
      </c>
      <c r="X77" s="26" t="s">
        <v>20</v>
      </c>
      <c r="Y77" s="18">
        <f>(G75+G77+I75+K75+E77+E79+G78)/100</f>
        <v>1.84</v>
      </c>
      <c r="Z77" s="19" t="s">
        <v>13</v>
      </c>
      <c r="AA77" s="20" t="s">
        <v>21</v>
      </c>
      <c r="AB77" s="21">
        <f>Y76*5+Y79*4+Y80*5</f>
        <v>26.168831168831169</v>
      </c>
      <c r="AC77" s="19" t="s">
        <v>18</v>
      </c>
      <c r="AD77" s="22">
        <f>AB77*9/AB75</f>
        <v>0.27101579139599957</v>
      </c>
    </row>
    <row r="78" spans="1:30" ht="16.149999999999999" customHeight="1">
      <c r="A78" s="259"/>
      <c r="B78" s="23"/>
      <c r="C78" s="24"/>
      <c r="D78" s="121" t="s">
        <v>76</v>
      </c>
      <c r="E78" s="30">
        <v>5</v>
      </c>
      <c r="F78" s="104" t="s">
        <v>49</v>
      </c>
      <c r="G78" s="128">
        <v>3</v>
      </c>
      <c r="H78" s="95"/>
      <c r="I78" s="94"/>
      <c r="J78" s="104" t="s">
        <v>214</v>
      </c>
      <c r="K78" s="71">
        <v>1</v>
      </c>
      <c r="L78" s="101"/>
      <c r="M78" s="100"/>
      <c r="N78" s="25" t="s">
        <v>24</v>
      </c>
      <c r="O78" s="84" t="s">
        <v>22</v>
      </c>
      <c r="P78" s="29">
        <v>0</v>
      </c>
      <c r="Q78" s="19" t="s">
        <v>13</v>
      </c>
      <c r="R78" s="20" t="s">
        <v>23</v>
      </c>
      <c r="S78" s="21">
        <f>P75*2+P76*7+P77*1+P79*8</f>
        <v>35.982337662337656</v>
      </c>
      <c r="T78" s="19" t="s">
        <v>18</v>
      </c>
      <c r="U78" s="22">
        <f>S78*4/S75</f>
        <v>0.1657300396762969</v>
      </c>
      <c r="W78" s="25" t="s">
        <v>24</v>
      </c>
      <c r="X78" s="28" t="s">
        <v>22</v>
      </c>
      <c r="Y78" s="29">
        <v>0</v>
      </c>
      <c r="Z78" s="19" t="s">
        <v>13</v>
      </c>
      <c r="AA78" s="20" t="s">
        <v>23</v>
      </c>
      <c r="AB78" s="21">
        <f>Y75*2+Y76*7+Y77*1+Y79*8</f>
        <v>36.676363636363639</v>
      </c>
      <c r="AC78" s="19" t="s">
        <v>18</v>
      </c>
      <c r="AD78" s="22">
        <f>AB78*4/AB75</f>
        <v>0.16881616237454969</v>
      </c>
    </row>
    <row r="79" spans="1:30" ht="16.149999999999999" customHeight="1">
      <c r="A79" s="259" t="s">
        <v>36</v>
      </c>
      <c r="B79" s="101"/>
      <c r="C79" s="100"/>
      <c r="D79" s="95" t="s">
        <v>123</v>
      </c>
      <c r="E79" s="94">
        <v>1</v>
      </c>
      <c r="F79" s="101"/>
      <c r="G79" s="119"/>
      <c r="H79" s="101"/>
      <c r="I79" s="137"/>
      <c r="J79" s="99"/>
      <c r="K79" s="94"/>
      <c r="L79" s="115"/>
      <c r="M79" s="128"/>
      <c r="N79" s="16">
        <f>S78</f>
        <v>35.982337662337656</v>
      </c>
      <c r="O79" s="28" t="s">
        <v>3</v>
      </c>
      <c r="P79" s="29">
        <v>0</v>
      </c>
      <c r="Q79" s="19" t="s">
        <v>13</v>
      </c>
      <c r="R79" s="32"/>
      <c r="S79" s="32"/>
      <c r="T79" s="32"/>
      <c r="U79" s="33">
        <f>SUM(U76:U78)</f>
        <v>1</v>
      </c>
      <c r="W79" s="16">
        <f>AB78</f>
        <v>36.676363636363639</v>
      </c>
      <c r="X79" s="28" t="s">
        <v>3</v>
      </c>
      <c r="Y79" s="29">
        <v>0</v>
      </c>
      <c r="Z79" s="19" t="s">
        <v>13</v>
      </c>
      <c r="AA79" s="32"/>
      <c r="AB79" s="32"/>
      <c r="AC79" s="32"/>
      <c r="AD79" s="33">
        <f>SUM(AD76:AD78)</f>
        <v>1</v>
      </c>
    </row>
    <row r="80" spans="1:30" ht="16.149999999999999" customHeight="1">
      <c r="A80" s="259"/>
      <c r="B80" s="101"/>
      <c r="C80" s="100"/>
      <c r="D80" s="101"/>
      <c r="E80" s="100"/>
      <c r="F80" s="12"/>
      <c r="G80" s="126"/>
      <c r="H80" s="101"/>
      <c r="I80" s="137"/>
      <c r="J80" s="53"/>
      <c r="K80" s="90"/>
      <c r="L80" s="115"/>
      <c r="M80" s="128"/>
      <c r="N80" s="25" t="s">
        <v>27</v>
      </c>
      <c r="O80" s="34" t="s">
        <v>26</v>
      </c>
      <c r="P80" s="29">
        <v>2.5</v>
      </c>
      <c r="Q80" s="19" t="s">
        <v>13</v>
      </c>
      <c r="R80" s="35"/>
      <c r="S80" s="35"/>
      <c r="T80" s="35"/>
      <c r="U80" s="36"/>
      <c r="W80" s="25" t="s">
        <v>27</v>
      </c>
      <c r="X80" s="34" t="s">
        <v>26</v>
      </c>
      <c r="Y80" s="29">
        <v>2.4</v>
      </c>
      <c r="Z80" s="19" t="s">
        <v>13</v>
      </c>
      <c r="AA80" s="35"/>
      <c r="AB80" s="35"/>
      <c r="AC80" s="35"/>
      <c r="AD80" s="36"/>
    </row>
    <row r="81" spans="1:30" ht="16.149999999999999" customHeight="1" thickBot="1">
      <c r="A81" s="260"/>
      <c r="B81" s="261" t="s">
        <v>120</v>
      </c>
      <c r="C81" s="262"/>
      <c r="D81" s="273" t="s">
        <v>102</v>
      </c>
      <c r="E81" s="262"/>
      <c r="F81" s="261" t="s">
        <v>99</v>
      </c>
      <c r="G81" s="262"/>
      <c r="H81" s="261" t="s">
        <v>101</v>
      </c>
      <c r="I81" s="262"/>
      <c r="J81" s="261" t="s">
        <v>102</v>
      </c>
      <c r="K81" s="262"/>
      <c r="L81" s="261" t="s">
        <v>103</v>
      </c>
      <c r="M81" s="262"/>
      <c r="N81" s="43">
        <f>P81</f>
        <v>868.45662337662338</v>
      </c>
      <c r="O81" s="38" t="s">
        <v>28</v>
      </c>
      <c r="P81" s="39">
        <f>P75*68+P76*73+P77*24+P78*60+P79*112+P80*45</f>
        <v>868.45662337662338</v>
      </c>
      <c r="Q81" s="40" t="s">
        <v>15</v>
      </c>
      <c r="R81" s="41"/>
      <c r="S81" s="41"/>
      <c r="T81" s="41"/>
      <c r="U81" s="42"/>
      <c r="W81" s="43">
        <f>Y81</f>
        <v>869.02493506493499</v>
      </c>
      <c r="X81" s="38" t="s">
        <v>28</v>
      </c>
      <c r="Y81" s="39">
        <f>Y75*68+Y76*73+Y77*24+Y78*60+Y79*112+Y80*45</f>
        <v>869.02493506493499</v>
      </c>
      <c r="Z81" s="40" t="s">
        <v>15</v>
      </c>
      <c r="AA81" s="41"/>
      <c r="AB81" s="41"/>
      <c r="AC81" s="41"/>
      <c r="AD81" s="42"/>
    </row>
    <row r="82" spans="1:30" ht="16.149999999999999" customHeight="1" thickBot="1">
      <c r="A82" s="263">
        <f>A74+1</f>
        <v>43896</v>
      </c>
      <c r="B82" s="268" t="s">
        <v>162</v>
      </c>
      <c r="C82" s="270"/>
      <c r="D82" s="264" t="s">
        <v>159</v>
      </c>
      <c r="E82" s="269"/>
      <c r="F82" s="264" t="s">
        <v>160</v>
      </c>
      <c r="G82" s="269"/>
      <c r="H82" s="264" t="s">
        <v>37</v>
      </c>
      <c r="I82" s="269"/>
      <c r="J82" s="268" t="s">
        <v>161</v>
      </c>
      <c r="K82" s="270"/>
      <c r="L82" s="276" t="s">
        <v>142</v>
      </c>
      <c r="M82" s="277"/>
      <c r="N82" s="5" t="s">
        <v>12</v>
      </c>
      <c r="O82" s="253" t="s">
        <v>29</v>
      </c>
      <c r="P82" s="254"/>
      <c r="Q82" s="255"/>
      <c r="R82" s="256" t="s">
        <v>30</v>
      </c>
      <c r="S82" s="257"/>
      <c r="T82" s="257"/>
      <c r="U82" s="258"/>
      <c r="W82" s="5" t="s">
        <v>12</v>
      </c>
      <c r="X82" s="253" t="s">
        <v>29</v>
      </c>
      <c r="Y82" s="254"/>
      <c r="Z82" s="255"/>
      <c r="AA82" s="256" t="s">
        <v>30</v>
      </c>
      <c r="AB82" s="257"/>
      <c r="AC82" s="257"/>
      <c r="AD82" s="258"/>
    </row>
    <row r="83" spans="1:30" ht="16.149999999999999" customHeight="1">
      <c r="A83" s="259"/>
      <c r="B83" s="104" t="s">
        <v>209</v>
      </c>
      <c r="C83" s="126">
        <v>55</v>
      </c>
      <c r="D83" s="102" t="s">
        <v>81</v>
      </c>
      <c r="E83" s="100">
        <v>30</v>
      </c>
      <c r="F83" s="61" t="s">
        <v>215</v>
      </c>
      <c r="G83" s="62">
        <v>30</v>
      </c>
      <c r="H83" s="57" t="s">
        <v>77</v>
      </c>
      <c r="I83" s="47">
        <v>100</v>
      </c>
      <c r="J83" s="127" t="s">
        <v>133</v>
      </c>
      <c r="K83" s="98">
        <v>15</v>
      </c>
      <c r="L83" s="61" t="s">
        <v>34</v>
      </c>
      <c r="M83" s="15">
        <v>150</v>
      </c>
      <c r="N83" s="16">
        <f>S84</f>
        <v>125.521</v>
      </c>
      <c r="O83" s="48" t="s">
        <v>1</v>
      </c>
      <c r="P83" s="29">
        <f>M83/20+M84/20+E85/85+G83/90+E86/45</f>
        <v>7.833333333333333</v>
      </c>
      <c r="Q83" s="8" t="s">
        <v>13</v>
      </c>
      <c r="R83" s="49" t="s">
        <v>14</v>
      </c>
      <c r="S83" s="50">
        <f>P89</f>
        <v>838.19993419913419</v>
      </c>
      <c r="T83" s="51" t="s">
        <v>15</v>
      </c>
      <c r="U83" s="58"/>
      <c r="W83" s="16">
        <f>AB84</f>
        <v>124.73039215686275</v>
      </c>
      <c r="X83" s="48" t="s">
        <v>1</v>
      </c>
      <c r="Y83" s="29">
        <f>M83/20+K83/85+K85/90</f>
        <v>7.765359477124183</v>
      </c>
      <c r="Z83" s="8" t="s">
        <v>13</v>
      </c>
      <c r="AA83" s="49" t="s">
        <v>14</v>
      </c>
      <c r="AB83" s="50">
        <f>Y89</f>
        <v>888.27353535353541</v>
      </c>
      <c r="AC83" s="51" t="s">
        <v>15</v>
      </c>
      <c r="AD83" s="58"/>
    </row>
    <row r="84" spans="1:30" ht="16.149999999999999" customHeight="1">
      <c r="A84" s="259"/>
      <c r="B84" s="23" t="s">
        <v>217</v>
      </c>
      <c r="C84" s="100">
        <v>30</v>
      </c>
      <c r="D84" s="101" t="s">
        <v>76</v>
      </c>
      <c r="E84" s="100">
        <v>5</v>
      </c>
      <c r="F84" s="104" t="s">
        <v>145</v>
      </c>
      <c r="G84" s="64">
        <v>5</v>
      </c>
      <c r="H84" s="23"/>
      <c r="I84" s="126"/>
      <c r="J84" s="127" t="s">
        <v>145</v>
      </c>
      <c r="K84" s="100">
        <v>10</v>
      </c>
      <c r="L84" s="104"/>
      <c r="M84" s="128"/>
      <c r="N84" s="25" t="s">
        <v>19</v>
      </c>
      <c r="O84" s="17" t="s">
        <v>2</v>
      </c>
      <c r="P84" s="18">
        <f>C83/35+E83/55</f>
        <v>2.116883116883117</v>
      </c>
      <c r="Q84" s="19" t="s">
        <v>13</v>
      </c>
      <c r="R84" s="20" t="s">
        <v>17</v>
      </c>
      <c r="S84" s="21">
        <f>P83*15+P85*5+P86*15+P87*12</f>
        <v>125.521</v>
      </c>
      <c r="T84" s="19" t="s">
        <v>18</v>
      </c>
      <c r="U84" s="22">
        <f>S84*4/S83</f>
        <v>0.59900267169517352</v>
      </c>
      <c r="W84" s="25" t="s">
        <v>19</v>
      </c>
      <c r="X84" s="17" t="s">
        <v>2</v>
      </c>
      <c r="Y84" s="18">
        <f>C83/35+C84*0.58/35+E83/2/35+E84/35+G85/55+K86/55</f>
        <v>2.9127272727272722</v>
      </c>
      <c r="Z84" s="19" t="s">
        <v>13</v>
      </c>
      <c r="AA84" s="20" t="s">
        <v>17</v>
      </c>
      <c r="AB84" s="21">
        <f>Y83*15+Y85*5+Y86*15+Y87*12</f>
        <v>124.73039215686275</v>
      </c>
      <c r="AC84" s="19" t="s">
        <v>18</v>
      </c>
      <c r="AD84" s="22">
        <f>AB84*4/AB83</f>
        <v>0.56167559740353945</v>
      </c>
    </row>
    <row r="85" spans="1:30" ht="16.149999999999999" customHeight="1">
      <c r="A85" s="259"/>
      <c r="B85" s="23" t="s">
        <v>35</v>
      </c>
      <c r="C85" s="56">
        <v>0.42</v>
      </c>
      <c r="D85" s="103"/>
      <c r="E85" s="128"/>
      <c r="F85" s="104" t="s">
        <v>216</v>
      </c>
      <c r="G85" s="64">
        <v>10</v>
      </c>
      <c r="H85" s="23"/>
      <c r="I85" s="126"/>
      <c r="J85" s="127" t="s">
        <v>61</v>
      </c>
      <c r="K85" s="71">
        <v>8</v>
      </c>
      <c r="L85" s="115"/>
      <c r="M85" s="128"/>
      <c r="N85" s="16">
        <f>S85</f>
        <v>23.084415584415584</v>
      </c>
      <c r="O85" s="26" t="s">
        <v>20</v>
      </c>
      <c r="P85" s="18">
        <f>(C84+C85+E84+K131+K130+I83)/100</f>
        <v>1.6042000000000001</v>
      </c>
      <c r="Q85" s="19" t="s">
        <v>13</v>
      </c>
      <c r="R85" s="20" t="s">
        <v>21</v>
      </c>
      <c r="S85" s="21">
        <f>P84*5+P87*4+P88*5</f>
        <v>23.084415584415584</v>
      </c>
      <c r="T85" s="19" t="s">
        <v>18</v>
      </c>
      <c r="U85" s="22">
        <f>S85*9/S83</f>
        <v>0.24786418106587685</v>
      </c>
      <c r="W85" s="16">
        <f>AB85</f>
        <v>26.563636363636363</v>
      </c>
      <c r="X85" s="26" t="s">
        <v>20</v>
      </c>
      <c r="Y85" s="18">
        <f>(C86+G84+G83+G86+I83+K84+K87)/100</f>
        <v>1.65</v>
      </c>
      <c r="Z85" s="19" t="s">
        <v>13</v>
      </c>
      <c r="AA85" s="20" t="s">
        <v>21</v>
      </c>
      <c r="AB85" s="21">
        <f>Y84*5+Y87*4+Y88*5</f>
        <v>26.563636363636363</v>
      </c>
      <c r="AC85" s="19" t="s">
        <v>18</v>
      </c>
      <c r="AD85" s="22">
        <f>AB85*9/AB83</f>
        <v>0.26914313863642875</v>
      </c>
    </row>
    <row r="86" spans="1:30" ht="16.149999999999999" customHeight="1">
      <c r="A86" s="259"/>
      <c r="B86" s="23" t="s">
        <v>218</v>
      </c>
      <c r="C86" s="24">
        <v>5</v>
      </c>
      <c r="D86" s="101"/>
      <c r="E86" s="100"/>
      <c r="F86" s="104" t="s">
        <v>47</v>
      </c>
      <c r="G86" s="64">
        <v>10</v>
      </c>
      <c r="H86" s="12"/>
      <c r="I86" s="126"/>
      <c r="J86" s="127" t="s">
        <v>51</v>
      </c>
      <c r="K86" s="100">
        <v>5</v>
      </c>
      <c r="L86" s="101"/>
      <c r="M86" s="100"/>
      <c r="N86" s="25" t="s">
        <v>24</v>
      </c>
      <c r="O86" s="84" t="s">
        <v>22</v>
      </c>
      <c r="P86" s="29">
        <v>0</v>
      </c>
      <c r="Q86" s="19" t="s">
        <v>13</v>
      </c>
      <c r="R86" s="20" t="s">
        <v>23</v>
      </c>
      <c r="S86" s="21">
        <f>P83*2+P84*7+P85*1+P87*8</f>
        <v>32.089048484848483</v>
      </c>
      <c r="T86" s="19" t="s">
        <v>18</v>
      </c>
      <c r="U86" s="22">
        <f>S86*4/S83</f>
        <v>0.15313314723894966</v>
      </c>
      <c r="W86" s="25" t="s">
        <v>24</v>
      </c>
      <c r="X86" s="28" t="s">
        <v>22</v>
      </c>
      <c r="Y86" s="29">
        <v>0</v>
      </c>
      <c r="Z86" s="19" t="s">
        <v>13</v>
      </c>
      <c r="AA86" s="20" t="s">
        <v>23</v>
      </c>
      <c r="AB86" s="21">
        <f>Y83*2+Y84*7+Y85*1+Y87*8</f>
        <v>37.569809863339266</v>
      </c>
      <c r="AC86" s="19" t="s">
        <v>18</v>
      </c>
      <c r="AD86" s="22">
        <f>AB86*4/AB83</f>
        <v>0.16918126396003175</v>
      </c>
    </row>
    <row r="87" spans="1:30" ht="16.149999999999999" customHeight="1">
      <c r="A87" s="259" t="s">
        <v>38</v>
      </c>
      <c r="B87" s="101"/>
      <c r="C87" s="100"/>
      <c r="D87" s="115"/>
      <c r="E87" s="100"/>
      <c r="F87" s="104"/>
      <c r="G87" s="64"/>
      <c r="H87" s="12"/>
      <c r="I87" s="126"/>
      <c r="J87" s="127" t="s">
        <v>54</v>
      </c>
      <c r="K87" s="100">
        <v>5</v>
      </c>
      <c r="L87" s="115"/>
      <c r="M87" s="128"/>
      <c r="N87" s="16">
        <f>S86</f>
        <v>32.089048484848483</v>
      </c>
      <c r="O87" s="28" t="s">
        <v>3</v>
      </c>
      <c r="P87" s="29">
        <v>0</v>
      </c>
      <c r="Q87" s="19" t="s">
        <v>13</v>
      </c>
      <c r="R87" s="32"/>
      <c r="S87" s="32"/>
      <c r="T87" s="32"/>
      <c r="U87" s="33">
        <f>SUM(U84:U86)</f>
        <v>1</v>
      </c>
      <c r="W87" s="16">
        <f>AB86</f>
        <v>37.569809863339266</v>
      </c>
      <c r="X87" s="28" t="s">
        <v>3</v>
      </c>
      <c r="Y87" s="29">
        <v>0</v>
      </c>
      <c r="Z87" s="19" t="s">
        <v>13</v>
      </c>
      <c r="AA87" s="32"/>
      <c r="AB87" s="32"/>
      <c r="AC87" s="32"/>
      <c r="AD87" s="33">
        <f>SUM(AD84:AD86)</f>
        <v>0.99999999999999989</v>
      </c>
    </row>
    <row r="88" spans="1:30" ht="16.149999999999999" customHeight="1">
      <c r="A88" s="259"/>
      <c r="B88" s="101"/>
      <c r="C88" s="100"/>
      <c r="D88" s="95"/>
      <c r="E88" s="94"/>
      <c r="F88" s="55"/>
      <c r="G88" s="56"/>
      <c r="H88" s="73"/>
      <c r="I88" s="71"/>
      <c r="J88" s="53"/>
      <c r="K88" s="87"/>
      <c r="L88" s="115"/>
      <c r="M88" s="128"/>
      <c r="N88" s="25" t="s">
        <v>27</v>
      </c>
      <c r="O88" s="34" t="s">
        <v>26</v>
      </c>
      <c r="P88" s="29">
        <v>2.5</v>
      </c>
      <c r="Q88" s="19" t="s">
        <v>13</v>
      </c>
      <c r="R88" s="35"/>
      <c r="S88" s="35"/>
      <c r="T88" s="35"/>
      <c r="U88" s="36"/>
      <c r="W88" s="25" t="s">
        <v>27</v>
      </c>
      <c r="X88" s="34" t="s">
        <v>26</v>
      </c>
      <c r="Y88" s="29">
        <v>2.4</v>
      </c>
      <c r="Z88" s="19" t="s">
        <v>13</v>
      </c>
      <c r="AA88" s="35"/>
      <c r="AB88" s="35"/>
      <c r="AC88" s="35"/>
      <c r="AD88" s="36"/>
    </row>
    <row r="89" spans="1:30" ht="16.149999999999999" customHeight="1" thickBot="1">
      <c r="A89" s="260"/>
      <c r="B89" s="261" t="s">
        <v>100</v>
      </c>
      <c r="C89" s="262"/>
      <c r="D89" s="273" t="s">
        <v>100</v>
      </c>
      <c r="E89" s="262"/>
      <c r="F89" s="261" t="s">
        <v>208</v>
      </c>
      <c r="G89" s="262"/>
      <c r="H89" s="261" t="s">
        <v>101</v>
      </c>
      <c r="I89" s="262"/>
      <c r="J89" s="261" t="s">
        <v>102</v>
      </c>
      <c r="K89" s="262"/>
      <c r="L89" s="261" t="s">
        <v>103</v>
      </c>
      <c r="M89" s="262"/>
      <c r="N89" s="43">
        <f>P89</f>
        <v>838.19993419913419</v>
      </c>
      <c r="O89" s="38" t="s">
        <v>28</v>
      </c>
      <c r="P89" s="39">
        <f>P83*68+P84*73+P85*24+P86*60+P87*112+P88*45</f>
        <v>838.19993419913419</v>
      </c>
      <c r="Q89" s="40" t="s">
        <v>15</v>
      </c>
      <c r="R89" s="41"/>
      <c r="S89" s="41"/>
      <c r="T89" s="41"/>
      <c r="U89" s="42"/>
      <c r="W89" s="43">
        <f>Y89</f>
        <v>888.27353535353541</v>
      </c>
      <c r="X89" s="38" t="s">
        <v>28</v>
      </c>
      <c r="Y89" s="39">
        <f>Y83*68+Y84*73+Y85*24+Y86*60+Y87*112+Y88*45</f>
        <v>888.27353535353541</v>
      </c>
      <c r="Z89" s="40" t="s">
        <v>15</v>
      </c>
      <c r="AA89" s="41"/>
      <c r="AB89" s="41"/>
      <c r="AC89" s="41"/>
      <c r="AD89" s="42"/>
    </row>
    <row r="90" spans="1:30">
      <c r="A90" s="247" t="s">
        <v>39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</row>
    <row r="91" spans="1:30" ht="16.149999999999999" customHeight="1">
      <c r="A91" s="249" t="s">
        <v>40</v>
      </c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</row>
    <row r="92" spans="1:30">
      <c r="A92" s="250" t="s">
        <v>41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</row>
    <row r="93" spans="1:30" ht="16.149999999999999" customHeight="1">
      <c r="A93" s="251" t="s">
        <v>42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</row>
    <row r="94" spans="1:30">
      <c r="A94" s="252" t="s">
        <v>43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</row>
    <row r="95" spans="1:30" ht="22.6" thickBot="1">
      <c r="A95" s="279" t="s">
        <v>219</v>
      </c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</row>
    <row r="96" spans="1:30" ht="32.799999999999997" thickBot="1">
      <c r="A96" s="74" t="s">
        <v>4</v>
      </c>
      <c r="B96" s="75" t="s">
        <v>5</v>
      </c>
      <c r="C96" s="4" t="s">
        <v>6</v>
      </c>
      <c r="D96" s="75" t="s">
        <v>7</v>
      </c>
      <c r="E96" s="4" t="s">
        <v>6</v>
      </c>
      <c r="F96" s="75" t="s">
        <v>7</v>
      </c>
      <c r="G96" s="4" t="s">
        <v>6</v>
      </c>
      <c r="H96" s="75" t="s">
        <v>50</v>
      </c>
      <c r="I96" s="4" t="s">
        <v>6</v>
      </c>
      <c r="J96" s="75" t="s">
        <v>8</v>
      </c>
      <c r="K96" s="4" t="s">
        <v>6</v>
      </c>
      <c r="L96" s="75" t="s">
        <v>9</v>
      </c>
      <c r="M96" s="4" t="s">
        <v>6</v>
      </c>
      <c r="N96" s="4" t="s">
        <v>10</v>
      </c>
      <c r="O96" s="280" t="s">
        <v>11</v>
      </c>
      <c r="P96" s="281"/>
      <c r="Q96" s="281"/>
      <c r="R96" s="281"/>
      <c r="S96" s="281"/>
      <c r="T96" s="281"/>
      <c r="U96" s="282"/>
      <c r="W96" s="4" t="s">
        <v>10</v>
      </c>
      <c r="X96" s="280" t="s">
        <v>11</v>
      </c>
      <c r="Y96" s="281"/>
      <c r="Z96" s="281"/>
      <c r="AA96" s="281"/>
      <c r="AB96" s="281"/>
      <c r="AC96" s="281"/>
      <c r="AD96" s="282"/>
    </row>
    <row r="97" spans="1:30" ht="16.149999999999999" customHeight="1" thickBot="1">
      <c r="A97" s="263">
        <f>A82+3</f>
        <v>43899</v>
      </c>
      <c r="B97" s="264" t="s">
        <v>165</v>
      </c>
      <c r="C97" s="265"/>
      <c r="D97" s="264" t="s">
        <v>275</v>
      </c>
      <c r="E97" s="265"/>
      <c r="F97" s="264" t="s">
        <v>167</v>
      </c>
      <c r="G97" s="269"/>
      <c r="H97" s="268" t="s">
        <v>44</v>
      </c>
      <c r="I97" s="272"/>
      <c r="J97" s="268" t="s">
        <v>93</v>
      </c>
      <c r="K97" s="283"/>
      <c r="L97" s="276" t="s">
        <v>142</v>
      </c>
      <c r="M97" s="277"/>
      <c r="N97" s="5" t="s">
        <v>12</v>
      </c>
      <c r="O97" s="48" t="s">
        <v>1</v>
      </c>
      <c r="P97" s="7" t="e">
        <f>#REF!/45+G100/65+M98/20+M99/20</f>
        <v>#REF!</v>
      </c>
      <c r="Q97" s="8" t="s">
        <v>13</v>
      </c>
      <c r="R97" s="9" t="s">
        <v>14</v>
      </c>
      <c r="S97" s="10" t="e">
        <f>P103</f>
        <v>#REF!</v>
      </c>
      <c r="T97" s="8" t="s">
        <v>15</v>
      </c>
      <c r="U97" s="11" t="s">
        <v>16</v>
      </c>
      <c r="W97" s="5" t="s">
        <v>12</v>
      </c>
      <c r="X97" s="253" t="s">
        <v>29</v>
      </c>
      <c r="Y97" s="254"/>
      <c r="Z97" s="255"/>
      <c r="AA97" s="256" t="s">
        <v>30</v>
      </c>
      <c r="AB97" s="257"/>
      <c r="AC97" s="257"/>
      <c r="AD97" s="258"/>
    </row>
    <row r="98" spans="1:30" ht="16.149999999999999" customHeight="1">
      <c r="A98" s="259"/>
      <c r="B98" s="102" t="s">
        <v>221</v>
      </c>
      <c r="C98" s="98">
        <v>60</v>
      </c>
      <c r="D98" s="110" t="s">
        <v>274</v>
      </c>
      <c r="E98" s="76">
        <v>35</v>
      </c>
      <c r="F98" s="67" t="s">
        <v>59</v>
      </c>
      <c r="G98" s="47">
        <v>30</v>
      </c>
      <c r="H98" s="110" t="s">
        <v>57</v>
      </c>
      <c r="I98" s="76">
        <v>100</v>
      </c>
      <c r="J98" s="61" t="s">
        <v>67</v>
      </c>
      <c r="K98" s="15">
        <v>20</v>
      </c>
      <c r="L98" s="61" t="s">
        <v>34</v>
      </c>
      <c r="M98" s="15">
        <v>140</v>
      </c>
      <c r="N98" s="16" t="e">
        <f>S98</f>
        <v>#REF!</v>
      </c>
      <c r="O98" s="17" t="s">
        <v>2</v>
      </c>
      <c r="P98" s="18" t="e">
        <f>#REF!/55+E98/55+E99/35+K123/25</f>
        <v>#REF!</v>
      </c>
      <c r="Q98" s="19" t="s">
        <v>13</v>
      </c>
      <c r="R98" s="20" t="s">
        <v>17</v>
      </c>
      <c r="S98" s="21" t="e">
        <f>P97*15+P99*5+P100*15+P101*12</f>
        <v>#REF!</v>
      </c>
      <c r="T98" s="19" t="s">
        <v>18</v>
      </c>
      <c r="U98" s="22" t="e">
        <f>S98*4/S97</f>
        <v>#REF!</v>
      </c>
      <c r="W98" s="16">
        <f>AB99</f>
        <v>122.2</v>
      </c>
      <c r="X98" s="6" t="s">
        <v>1</v>
      </c>
      <c r="Y98" s="7">
        <f>M98/20+G100/30</f>
        <v>7.5</v>
      </c>
      <c r="Z98" s="8" t="s">
        <v>13</v>
      </c>
      <c r="AA98" s="9" t="s">
        <v>14</v>
      </c>
      <c r="AB98" s="10">
        <f>Y104</f>
        <v>879.38857142857137</v>
      </c>
      <c r="AC98" s="8" t="s">
        <v>15</v>
      </c>
      <c r="AD98" s="11" t="s">
        <v>16</v>
      </c>
    </row>
    <row r="99" spans="1:30" ht="16.149999999999999" customHeight="1">
      <c r="A99" s="259"/>
      <c r="B99" s="104"/>
      <c r="C99" s="128"/>
      <c r="D99" s="108" t="s">
        <v>119</v>
      </c>
      <c r="E99" s="77">
        <v>15</v>
      </c>
      <c r="F99" s="67" t="s">
        <v>54</v>
      </c>
      <c r="G99" s="126">
        <v>8</v>
      </c>
      <c r="H99" s="104"/>
      <c r="I99" s="64"/>
      <c r="J99" s="104" t="s">
        <v>60</v>
      </c>
      <c r="K99" s="128">
        <v>5</v>
      </c>
      <c r="L99" s="104"/>
      <c r="M99" s="128"/>
      <c r="N99" s="25" t="s">
        <v>19</v>
      </c>
      <c r="O99" s="26" t="s">
        <v>20</v>
      </c>
      <c r="P99" s="18" t="e">
        <f>(#REF!+G98+G99+I98+K122)/100</f>
        <v>#REF!</v>
      </c>
      <c r="Q99" s="19" t="s">
        <v>13</v>
      </c>
      <c r="R99" s="20" t="s">
        <v>21</v>
      </c>
      <c r="S99" s="21" t="e">
        <f>P98*5+P101*4+P102*5</f>
        <v>#REF!</v>
      </c>
      <c r="T99" s="19" t="s">
        <v>18</v>
      </c>
      <c r="U99" s="22" t="e">
        <f>S99*9/S97</f>
        <v>#REF!</v>
      </c>
      <c r="W99" s="25" t="s">
        <v>19</v>
      </c>
      <c r="X99" s="17" t="s">
        <v>2</v>
      </c>
      <c r="Y99" s="18">
        <f>E98/35+K100/35+C98/35</f>
        <v>2.9428571428571431</v>
      </c>
      <c r="Z99" s="19" t="s">
        <v>13</v>
      </c>
      <c r="AA99" s="20" t="s">
        <v>17</v>
      </c>
      <c r="AB99" s="21">
        <f>Y98*15+Y100*5+Y101*15+Y102*12</f>
        <v>122.2</v>
      </c>
      <c r="AC99" s="19" t="s">
        <v>18</v>
      </c>
      <c r="AD99" s="22">
        <f>AB99*4/AB98</f>
        <v>0.55584074649269299</v>
      </c>
    </row>
    <row r="100" spans="1:30" ht="16.149999999999999" customHeight="1">
      <c r="A100" s="259"/>
      <c r="B100" s="104"/>
      <c r="C100" s="128"/>
      <c r="D100" s="104" t="s">
        <v>49</v>
      </c>
      <c r="E100" s="128">
        <v>3</v>
      </c>
      <c r="F100" s="67" t="s">
        <v>222</v>
      </c>
      <c r="G100" s="126">
        <v>15</v>
      </c>
      <c r="H100" s="115"/>
      <c r="I100" s="128"/>
      <c r="J100" s="12" t="s">
        <v>68</v>
      </c>
      <c r="K100" s="126">
        <v>8</v>
      </c>
      <c r="L100" s="115"/>
      <c r="M100" s="128"/>
      <c r="N100" s="16" t="e">
        <f>S99</f>
        <v>#REF!</v>
      </c>
      <c r="O100" s="84" t="s">
        <v>22</v>
      </c>
      <c r="P100" s="29">
        <v>0</v>
      </c>
      <c r="Q100" s="19" t="s">
        <v>13</v>
      </c>
      <c r="R100" s="20" t="s">
        <v>23</v>
      </c>
      <c r="S100" s="21" t="e">
        <f>P97*2+P98*7+P99*1+P101*8</f>
        <v>#REF!</v>
      </c>
      <c r="T100" s="19" t="s">
        <v>18</v>
      </c>
      <c r="U100" s="22" t="e">
        <f>S100*4/S97</f>
        <v>#REF!</v>
      </c>
      <c r="W100" s="16">
        <f>AB100</f>
        <v>26.714285714285715</v>
      </c>
      <c r="X100" s="26" t="s">
        <v>20</v>
      </c>
      <c r="Y100" s="18">
        <f>(I98+G98+K98+K99+G101+G99+E99+E100+E101)/100</f>
        <v>1.94</v>
      </c>
      <c r="Z100" s="19" t="s">
        <v>13</v>
      </c>
      <c r="AA100" s="20" t="s">
        <v>21</v>
      </c>
      <c r="AB100" s="21">
        <f>Y99*5+Y102*4+Y103*5</f>
        <v>26.714285714285715</v>
      </c>
      <c r="AC100" s="19" t="s">
        <v>18</v>
      </c>
      <c r="AD100" s="22">
        <f>AB100*9/AB98</f>
        <v>0.2734042484063603</v>
      </c>
    </row>
    <row r="101" spans="1:30" ht="16.149999999999999" customHeight="1">
      <c r="A101" s="259"/>
      <c r="B101" s="104"/>
      <c r="C101" s="148"/>
      <c r="D101" s="23" t="s">
        <v>145</v>
      </c>
      <c r="E101" s="126">
        <v>3</v>
      </c>
      <c r="F101" s="99" t="s">
        <v>223</v>
      </c>
      <c r="G101" s="126">
        <v>10</v>
      </c>
      <c r="H101" s="115"/>
      <c r="I101" s="128"/>
      <c r="J101" s="118"/>
      <c r="K101" s="124"/>
      <c r="L101" s="101"/>
      <c r="M101" s="100"/>
      <c r="N101" s="25" t="s">
        <v>24</v>
      </c>
      <c r="O101" s="28" t="s">
        <v>3</v>
      </c>
      <c r="P101" s="29">
        <v>0</v>
      </c>
      <c r="Q101" s="19" t="s">
        <v>13</v>
      </c>
      <c r="R101" s="32"/>
      <c r="S101" s="32"/>
      <c r="T101" s="32"/>
      <c r="U101" s="33" t="e">
        <f>SUM(U98:U100)</f>
        <v>#REF!</v>
      </c>
      <c r="W101" s="25" t="s">
        <v>24</v>
      </c>
      <c r="X101" s="28" t="s">
        <v>22</v>
      </c>
      <c r="Y101" s="29">
        <v>0</v>
      </c>
      <c r="Z101" s="19" t="s">
        <v>13</v>
      </c>
      <c r="AA101" s="20" t="s">
        <v>23</v>
      </c>
      <c r="AB101" s="21">
        <f>Y98*2+Y99*7+Y100*1+Y102*8</f>
        <v>37.54</v>
      </c>
      <c r="AC101" s="19" t="s">
        <v>18</v>
      </c>
      <c r="AD101" s="22">
        <f>AB101*4/AB98</f>
        <v>0.17075500510094677</v>
      </c>
    </row>
    <row r="102" spans="1:30" ht="16.149999999999999" customHeight="1">
      <c r="A102" s="259" t="s">
        <v>25</v>
      </c>
      <c r="B102" s="104"/>
      <c r="C102" s="154"/>
      <c r="D102" s="153"/>
      <c r="E102" s="126"/>
      <c r="F102" s="99"/>
      <c r="G102" s="119"/>
      <c r="H102" s="115"/>
      <c r="I102" s="128"/>
      <c r="J102" s="65"/>
      <c r="K102" s="126"/>
      <c r="L102" s="115"/>
      <c r="M102" s="128"/>
      <c r="N102" s="16" t="e">
        <f>S100</f>
        <v>#REF!</v>
      </c>
      <c r="O102" s="34" t="s">
        <v>26</v>
      </c>
      <c r="P102" s="29">
        <v>2.5</v>
      </c>
      <c r="Q102" s="19" t="s">
        <v>13</v>
      </c>
      <c r="R102" s="35"/>
      <c r="S102" s="35"/>
      <c r="T102" s="35"/>
      <c r="U102" s="36"/>
      <c r="W102" s="16">
        <f>AB101</f>
        <v>37.54</v>
      </c>
      <c r="X102" s="28" t="s">
        <v>3</v>
      </c>
      <c r="Y102" s="29">
        <v>0</v>
      </c>
      <c r="Z102" s="19" t="s">
        <v>13</v>
      </c>
      <c r="AA102" s="32"/>
      <c r="AB102" s="32"/>
      <c r="AC102" s="32"/>
      <c r="AD102" s="33">
        <f>SUM(AD99:AD101)</f>
        <v>1</v>
      </c>
    </row>
    <row r="103" spans="1:30" ht="16.149999999999999" customHeight="1" thickBot="1">
      <c r="A103" s="259"/>
      <c r="B103" s="23"/>
      <c r="C103" s="24"/>
      <c r="D103" s="115"/>
      <c r="E103" s="128"/>
      <c r="F103" s="37"/>
      <c r="G103" s="126"/>
      <c r="H103" s="115"/>
      <c r="I103" s="128"/>
      <c r="J103" s="37"/>
      <c r="K103" s="126"/>
      <c r="L103" s="115"/>
      <c r="M103" s="128"/>
      <c r="N103" s="25" t="s">
        <v>27</v>
      </c>
      <c r="O103" s="38" t="s">
        <v>28</v>
      </c>
      <c r="P103" s="39" t="e">
        <f>P97*68+P98*73+P99*24+P100*60+P101*112+P102*45</f>
        <v>#REF!</v>
      </c>
      <c r="Q103" s="40" t="s">
        <v>15</v>
      </c>
      <c r="R103" s="41"/>
      <c r="S103" s="41"/>
      <c r="T103" s="41"/>
      <c r="U103" s="42"/>
      <c r="W103" s="25" t="s">
        <v>27</v>
      </c>
      <c r="X103" s="34" t="s">
        <v>26</v>
      </c>
      <c r="Y103" s="29">
        <v>2.4</v>
      </c>
      <c r="Z103" s="19" t="s">
        <v>13</v>
      </c>
      <c r="AA103" s="35"/>
      <c r="AB103" s="35"/>
      <c r="AC103" s="35"/>
      <c r="AD103" s="36"/>
    </row>
    <row r="104" spans="1:30" ht="16.149999999999999" customHeight="1" thickBot="1">
      <c r="A104" s="260"/>
      <c r="B104" s="261" t="s">
        <v>104</v>
      </c>
      <c r="C104" s="262"/>
      <c r="D104" s="261" t="s">
        <v>99</v>
      </c>
      <c r="E104" s="262"/>
      <c r="F104" s="273" t="s">
        <v>99</v>
      </c>
      <c r="G104" s="262"/>
      <c r="H104" s="261" t="s">
        <v>101</v>
      </c>
      <c r="I104" s="262"/>
      <c r="J104" s="261" t="s">
        <v>102</v>
      </c>
      <c r="K104" s="262"/>
      <c r="L104" s="261" t="s">
        <v>103</v>
      </c>
      <c r="M104" s="262"/>
      <c r="N104" s="43" t="e">
        <f>P103</f>
        <v>#REF!</v>
      </c>
      <c r="O104" s="44"/>
      <c r="P104" s="45"/>
      <c r="Q104" s="45"/>
      <c r="R104" s="45"/>
      <c r="S104" s="45"/>
      <c r="T104" s="45"/>
      <c r="U104" s="46"/>
      <c r="W104" s="43">
        <f>Y104</f>
        <v>879.38857142857137</v>
      </c>
      <c r="X104" s="38" t="s">
        <v>28</v>
      </c>
      <c r="Y104" s="39">
        <f>Y98*68+Y99*73+Y100*24+Y101*60+Y102*112+Y103*45</f>
        <v>879.38857142857137</v>
      </c>
      <c r="Z104" s="40" t="s">
        <v>15</v>
      </c>
      <c r="AA104" s="41"/>
      <c r="AB104" s="41"/>
      <c r="AC104" s="41"/>
      <c r="AD104" s="42"/>
    </row>
    <row r="105" spans="1:30" ht="16.149999999999999" customHeight="1" thickBot="1">
      <c r="A105" s="263">
        <f>A97+1</f>
        <v>43900</v>
      </c>
      <c r="B105" s="264" t="s">
        <v>166</v>
      </c>
      <c r="C105" s="269"/>
      <c r="D105" s="264" t="s">
        <v>115</v>
      </c>
      <c r="E105" s="269"/>
      <c r="F105" s="264" t="s">
        <v>168</v>
      </c>
      <c r="G105" s="269"/>
      <c r="H105" s="264" t="s">
        <v>46</v>
      </c>
      <c r="I105" s="269"/>
      <c r="J105" s="264" t="s">
        <v>169</v>
      </c>
      <c r="K105" s="269"/>
      <c r="L105" s="276" t="s">
        <v>142</v>
      </c>
      <c r="M105" s="277"/>
      <c r="N105" s="5" t="s">
        <v>12</v>
      </c>
      <c r="O105" s="253" t="s">
        <v>29</v>
      </c>
      <c r="P105" s="254"/>
      <c r="Q105" s="255"/>
      <c r="R105" s="256" t="s">
        <v>30</v>
      </c>
      <c r="S105" s="257"/>
      <c r="T105" s="257"/>
      <c r="U105" s="258"/>
      <c r="W105" s="5" t="s">
        <v>12</v>
      </c>
      <c r="X105" s="253" t="s">
        <v>29</v>
      </c>
      <c r="Y105" s="254"/>
      <c r="Z105" s="255"/>
      <c r="AA105" s="256" t="s">
        <v>30</v>
      </c>
      <c r="AB105" s="257"/>
      <c r="AC105" s="257"/>
      <c r="AD105" s="258"/>
    </row>
    <row r="106" spans="1:30" ht="16.149999999999999" customHeight="1">
      <c r="A106" s="259"/>
      <c r="B106" s="12" t="s">
        <v>53</v>
      </c>
      <c r="C106" s="126">
        <v>60</v>
      </c>
      <c r="D106" s="61" t="s">
        <v>61</v>
      </c>
      <c r="E106" s="62">
        <v>15</v>
      </c>
      <c r="F106" s="23" t="s">
        <v>224</v>
      </c>
      <c r="G106" s="47">
        <v>30</v>
      </c>
      <c r="H106" s="108" t="s">
        <v>77</v>
      </c>
      <c r="I106" s="76">
        <v>100</v>
      </c>
      <c r="J106" s="97" t="s">
        <v>225</v>
      </c>
      <c r="K106" s="98">
        <v>30</v>
      </c>
      <c r="L106" s="61" t="s">
        <v>34</v>
      </c>
      <c r="M106" s="15">
        <v>140</v>
      </c>
      <c r="N106" s="16" t="e">
        <f>S107</f>
        <v>#REF!</v>
      </c>
      <c r="O106" s="48" t="s">
        <v>1</v>
      </c>
      <c r="P106" s="29">
        <f>M106/20+M107/55</f>
        <v>7</v>
      </c>
      <c r="Q106" s="8" t="s">
        <v>13</v>
      </c>
      <c r="R106" s="49" t="s">
        <v>14</v>
      </c>
      <c r="S106" s="50" t="e">
        <f>P112</f>
        <v>#REF!</v>
      </c>
      <c r="T106" s="51" t="s">
        <v>15</v>
      </c>
      <c r="U106" s="52" t="s">
        <v>16</v>
      </c>
      <c r="W106" s="16">
        <f>AB107</f>
        <v>115.9</v>
      </c>
      <c r="X106" s="48" t="s">
        <v>1</v>
      </c>
      <c r="Y106" s="7">
        <f>M106/20+E106/90</f>
        <v>7.166666666666667</v>
      </c>
      <c r="Z106" s="8" t="s">
        <v>13</v>
      </c>
      <c r="AA106" s="49" t="s">
        <v>14</v>
      </c>
      <c r="AB106" s="50">
        <f>Y112</f>
        <v>847.87476190476195</v>
      </c>
      <c r="AC106" s="51" t="s">
        <v>15</v>
      </c>
      <c r="AD106" s="52" t="s">
        <v>16</v>
      </c>
    </row>
    <row r="107" spans="1:30" ht="16.149999999999999" customHeight="1">
      <c r="A107" s="259"/>
      <c r="B107" s="53" t="s">
        <v>35</v>
      </c>
      <c r="C107" s="54">
        <v>0.4</v>
      </c>
      <c r="D107" s="104" t="s">
        <v>60</v>
      </c>
      <c r="E107" s="64">
        <v>12</v>
      </c>
      <c r="F107" s="23" t="s">
        <v>69</v>
      </c>
      <c r="G107" s="126">
        <v>20</v>
      </c>
      <c r="H107" s="104"/>
      <c r="I107" s="64"/>
      <c r="J107" s="65" t="s">
        <v>73</v>
      </c>
      <c r="K107" s="24">
        <v>15</v>
      </c>
      <c r="L107" s="104"/>
      <c r="M107" s="128"/>
      <c r="N107" s="25" t="s">
        <v>19</v>
      </c>
      <c r="O107" s="17" t="s">
        <v>2</v>
      </c>
      <c r="P107" s="18" t="e">
        <f>#REF!/35+G110/40+#REF!/20+K107*0.6/40</f>
        <v>#REF!</v>
      </c>
      <c r="Q107" s="19" t="s">
        <v>13</v>
      </c>
      <c r="R107" s="20" t="s">
        <v>17</v>
      </c>
      <c r="S107" s="21" t="e">
        <f>P106*15+P108*5+P109*15+P110*12</f>
        <v>#REF!</v>
      </c>
      <c r="T107" s="19" t="s">
        <v>18</v>
      </c>
      <c r="U107" s="22" t="e">
        <f>S107*4/S106</f>
        <v>#REF!</v>
      </c>
      <c r="W107" s="25" t="s">
        <v>19</v>
      </c>
      <c r="X107" s="17" t="s">
        <v>2</v>
      </c>
      <c r="Y107" s="18">
        <f>C106*0.6/30+E109/35+G107/35+K107*0.65/35</f>
        <v>2.9071428571428566</v>
      </c>
      <c r="Z107" s="19" t="s">
        <v>13</v>
      </c>
      <c r="AA107" s="20" t="s">
        <v>17</v>
      </c>
      <c r="AB107" s="21">
        <f>Y106*15+Y108*5+Y109*15+Y110*12</f>
        <v>115.9</v>
      </c>
      <c r="AC107" s="19" t="s">
        <v>18</v>
      </c>
      <c r="AD107" s="22">
        <f>AB107*4/AB106</f>
        <v>0.54677886502779782</v>
      </c>
    </row>
    <row r="108" spans="1:30" ht="16.149999999999999" customHeight="1">
      <c r="A108" s="259"/>
      <c r="B108" s="23" t="s">
        <v>147</v>
      </c>
      <c r="C108" s="24">
        <v>1</v>
      </c>
      <c r="D108" s="104" t="s">
        <v>54</v>
      </c>
      <c r="E108" s="64">
        <v>5</v>
      </c>
      <c r="F108" s="23" t="s">
        <v>49</v>
      </c>
      <c r="G108" s="126">
        <v>3</v>
      </c>
      <c r="H108" s="115"/>
      <c r="I108" s="128"/>
      <c r="J108" s="59" t="s">
        <v>35</v>
      </c>
      <c r="K108" s="54">
        <v>0.35</v>
      </c>
      <c r="L108" s="115"/>
      <c r="M108" s="128"/>
      <c r="N108" s="16" t="e">
        <f>S108</f>
        <v>#REF!</v>
      </c>
      <c r="O108" s="26" t="s">
        <v>20</v>
      </c>
      <c r="P108" s="18" t="e">
        <f>(#REF!+G106+G107+G108+G109+#REF!+#REF!+I106+K106)/100</f>
        <v>#REF!</v>
      </c>
      <c r="Q108" s="19" t="s">
        <v>13</v>
      </c>
      <c r="R108" s="20" t="s">
        <v>21</v>
      </c>
      <c r="S108" s="21" t="e">
        <f>P107*5+P110*4+P111*5</f>
        <v>#REF!</v>
      </c>
      <c r="T108" s="19" t="s">
        <v>18</v>
      </c>
      <c r="U108" s="22" t="e">
        <f>S108*9/S106</f>
        <v>#REF!</v>
      </c>
      <c r="W108" s="16">
        <f>AB108</f>
        <v>26.535714285714285</v>
      </c>
      <c r="X108" s="26" t="s">
        <v>20</v>
      </c>
      <c r="Y108" s="18">
        <f>(E108+I106+G106+E107+G108+K107+G109)/100</f>
        <v>1.68</v>
      </c>
      <c r="Z108" s="19" t="s">
        <v>13</v>
      </c>
      <c r="AA108" s="20" t="s">
        <v>21</v>
      </c>
      <c r="AB108" s="21">
        <f>Y107*5+Y110*4+Y111*5</f>
        <v>26.535714285714285</v>
      </c>
      <c r="AC108" s="19" t="s">
        <v>18</v>
      </c>
      <c r="AD108" s="22">
        <f>AB108*9/AB106</f>
        <v>0.28167064205910908</v>
      </c>
    </row>
    <row r="109" spans="1:30" ht="16.149999999999999" customHeight="1">
      <c r="A109" s="259"/>
      <c r="B109" s="23" t="s">
        <v>82</v>
      </c>
      <c r="C109" s="24">
        <v>1</v>
      </c>
      <c r="D109" s="104" t="s">
        <v>226</v>
      </c>
      <c r="E109" s="64">
        <v>30</v>
      </c>
      <c r="F109" s="104" t="s">
        <v>145</v>
      </c>
      <c r="G109" s="126">
        <v>3</v>
      </c>
      <c r="H109" s="115"/>
      <c r="I109" s="128"/>
      <c r="J109" s="65"/>
      <c r="K109" s="128"/>
      <c r="L109" s="101"/>
      <c r="M109" s="100"/>
      <c r="N109" s="25" t="s">
        <v>24</v>
      </c>
      <c r="O109" s="84" t="s">
        <v>22</v>
      </c>
      <c r="P109" s="29">
        <v>0</v>
      </c>
      <c r="Q109" s="19" t="s">
        <v>13</v>
      </c>
      <c r="R109" s="20" t="s">
        <v>23</v>
      </c>
      <c r="S109" s="21" t="e">
        <f>P106*2+P107*7+P108*1+P110*8</f>
        <v>#REF!</v>
      </c>
      <c r="T109" s="19" t="s">
        <v>18</v>
      </c>
      <c r="U109" s="22" t="e">
        <f>S109*4/S106</f>
        <v>#REF!</v>
      </c>
      <c r="W109" s="25" t="s">
        <v>24</v>
      </c>
      <c r="X109" s="28" t="s">
        <v>22</v>
      </c>
      <c r="Y109" s="29">
        <v>0</v>
      </c>
      <c r="Z109" s="19" t="s">
        <v>13</v>
      </c>
      <c r="AA109" s="20" t="s">
        <v>23</v>
      </c>
      <c r="AB109" s="21">
        <f>Y106*2+Y107*7+Y108*1+Y110*8</f>
        <v>36.36333333333333</v>
      </c>
      <c r="AC109" s="19" t="s">
        <v>18</v>
      </c>
      <c r="AD109" s="22">
        <f>AB109*4/AB106</f>
        <v>0.17155049291309304</v>
      </c>
    </row>
    <row r="110" spans="1:30" ht="16.149999999999999" customHeight="1">
      <c r="A110" s="259" t="s">
        <v>31</v>
      </c>
      <c r="B110" s="104"/>
      <c r="C110" s="128"/>
      <c r="D110" s="104"/>
      <c r="E110" s="64"/>
      <c r="F110" s="104"/>
      <c r="G110" s="88"/>
      <c r="H110" s="115"/>
      <c r="I110" s="128"/>
      <c r="J110" s="99"/>
      <c r="K110" s="94"/>
      <c r="L110" s="115"/>
      <c r="M110" s="128"/>
      <c r="N110" s="16" t="e">
        <f>S109</f>
        <v>#REF!</v>
      </c>
      <c r="O110" s="28" t="s">
        <v>3</v>
      </c>
      <c r="P110" s="29">
        <v>0</v>
      </c>
      <c r="Q110" s="19" t="s">
        <v>13</v>
      </c>
      <c r="R110" s="32"/>
      <c r="S110" s="32"/>
      <c r="T110" s="32"/>
      <c r="U110" s="33" t="e">
        <f>SUM(U107:U109)</f>
        <v>#REF!</v>
      </c>
      <c r="W110" s="16">
        <f>AB109</f>
        <v>36.36333333333333</v>
      </c>
      <c r="X110" s="28" t="s">
        <v>3</v>
      </c>
      <c r="Y110" s="29">
        <v>0</v>
      </c>
      <c r="Z110" s="19" t="s">
        <v>13</v>
      </c>
      <c r="AA110" s="32"/>
      <c r="AB110" s="32"/>
      <c r="AC110" s="32"/>
      <c r="AD110" s="33">
        <f>SUM(AD107:AD109)</f>
        <v>1</v>
      </c>
    </row>
    <row r="111" spans="1:30" ht="16.149999999999999" customHeight="1">
      <c r="A111" s="259"/>
      <c r="B111" s="115"/>
      <c r="C111" s="128"/>
      <c r="D111" s="55"/>
      <c r="E111" s="56"/>
      <c r="F111" s="115"/>
      <c r="G111" s="128"/>
      <c r="H111" s="115"/>
      <c r="I111" s="128"/>
      <c r="J111" s="105"/>
      <c r="K111" s="60"/>
      <c r="L111" s="115"/>
      <c r="M111" s="128"/>
      <c r="N111" s="25" t="s">
        <v>27</v>
      </c>
      <c r="O111" s="34" t="s">
        <v>26</v>
      </c>
      <c r="P111" s="29">
        <v>2.5</v>
      </c>
      <c r="Q111" s="19" t="s">
        <v>13</v>
      </c>
      <c r="R111" s="35"/>
      <c r="S111" s="35"/>
      <c r="T111" s="35"/>
      <c r="U111" s="36"/>
      <c r="W111" s="25" t="s">
        <v>27</v>
      </c>
      <c r="X111" s="34" t="s">
        <v>26</v>
      </c>
      <c r="Y111" s="29">
        <v>2.4</v>
      </c>
      <c r="Z111" s="19" t="s">
        <v>13</v>
      </c>
      <c r="AA111" s="35"/>
      <c r="AB111" s="35"/>
      <c r="AC111" s="35"/>
      <c r="AD111" s="36"/>
    </row>
    <row r="112" spans="1:30" ht="16.149999999999999" customHeight="1" thickBot="1">
      <c r="A112" s="260"/>
      <c r="B112" s="261" t="s">
        <v>104</v>
      </c>
      <c r="C112" s="262"/>
      <c r="D112" s="261" t="s">
        <v>104</v>
      </c>
      <c r="E112" s="262"/>
      <c r="F112" s="261" t="s">
        <v>99</v>
      </c>
      <c r="G112" s="262"/>
      <c r="H112" s="261" t="s">
        <v>101</v>
      </c>
      <c r="I112" s="262"/>
      <c r="J112" s="261" t="s">
        <v>102</v>
      </c>
      <c r="K112" s="262"/>
      <c r="L112" s="261" t="s">
        <v>103</v>
      </c>
      <c r="M112" s="262"/>
      <c r="N112" s="43" t="e">
        <f>P112</f>
        <v>#REF!</v>
      </c>
      <c r="O112" s="38" t="s">
        <v>28</v>
      </c>
      <c r="P112" s="39" t="e">
        <f>P106*68+P107*73+P108*24+P109*60+P110*112+P111*45</f>
        <v>#REF!</v>
      </c>
      <c r="Q112" s="40" t="s">
        <v>15</v>
      </c>
      <c r="R112" s="41"/>
      <c r="S112" s="41"/>
      <c r="T112" s="41"/>
      <c r="U112" s="42"/>
      <c r="W112" s="43">
        <f>Y112</f>
        <v>847.87476190476195</v>
      </c>
      <c r="X112" s="38" t="s">
        <v>28</v>
      </c>
      <c r="Y112" s="39">
        <f>Y106*68+Y107*73+Y108*24+Y109*60+Y110*112+Y111*45</f>
        <v>847.87476190476195</v>
      </c>
      <c r="Z112" s="40" t="s">
        <v>15</v>
      </c>
      <c r="AA112" s="41"/>
      <c r="AB112" s="41"/>
      <c r="AC112" s="41"/>
      <c r="AD112" s="42"/>
    </row>
    <row r="113" spans="1:30" ht="16.149999999999999" customHeight="1" thickBot="1">
      <c r="A113" s="263">
        <f>A105+1</f>
        <v>43901</v>
      </c>
      <c r="B113" s="264" t="s">
        <v>163</v>
      </c>
      <c r="C113" s="265"/>
      <c r="D113" s="264" t="s">
        <v>473</v>
      </c>
      <c r="E113" s="269"/>
      <c r="F113" s="268" t="s">
        <v>267</v>
      </c>
      <c r="G113" s="270"/>
      <c r="H113" s="268" t="s">
        <v>48</v>
      </c>
      <c r="I113" s="267"/>
      <c r="J113" s="268" t="s">
        <v>272</v>
      </c>
      <c r="K113" s="267"/>
      <c r="L113" s="268" t="s">
        <v>266</v>
      </c>
      <c r="M113" s="267"/>
      <c r="N113" s="5" t="s">
        <v>12</v>
      </c>
      <c r="O113" s="253" t="s">
        <v>29</v>
      </c>
      <c r="P113" s="254"/>
      <c r="Q113" s="255"/>
      <c r="R113" s="256" t="s">
        <v>30</v>
      </c>
      <c r="S113" s="257"/>
      <c r="T113" s="257"/>
      <c r="U113" s="258"/>
      <c r="W113" s="5" t="s">
        <v>12</v>
      </c>
      <c r="X113" s="253" t="s">
        <v>29</v>
      </c>
      <c r="Y113" s="254"/>
      <c r="Z113" s="255"/>
      <c r="AA113" s="256" t="s">
        <v>30</v>
      </c>
      <c r="AB113" s="257"/>
      <c r="AC113" s="257"/>
      <c r="AD113" s="258"/>
    </row>
    <row r="114" spans="1:30" ht="16.149999999999999" customHeight="1">
      <c r="A114" s="259"/>
      <c r="B114" s="102" t="s">
        <v>62</v>
      </c>
      <c r="C114" s="98">
        <v>130</v>
      </c>
      <c r="D114" s="61" t="s">
        <v>146</v>
      </c>
      <c r="E114" s="62">
        <v>20</v>
      </c>
      <c r="F114" s="65" t="s">
        <v>267</v>
      </c>
      <c r="G114" s="64">
        <v>30</v>
      </c>
      <c r="H114" s="93" t="s">
        <v>45</v>
      </c>
      <c r="I114" s="76">
        <v>100</v>
      </c>
      <c r="J114" s="86" t="s">
        <v>130</v>
      </c>
      <c r="K114" s="15">
        <v>15</v>
      </c>
      <c r="L114" s="57" t="s">
        <v>34</v>
      </c>
      <c r="M114" s="69">
        <v>100</v>
      </c>
      <c r="N114" s="16" t="e">
        <f>S115</f>
        <v>#REF!</v>
      </c>
      <c r="O114" s="48" t="s">
        <v>1</v>
      </c>
      <c r="P114" s="29">
        <f>C116/90+M114/20</f>
        <v>5</v>
      </c>
      <c r="Q114" s="8" t="s">
        <v>13</v>
      </c>
      <c r="R114" s="49" t="s">
        <v>14</v>
      </c>
      <c r="S114" s="50" t="e">
        <f>P120</f>
        <v>#REF!</v>
      </c>
      <c r="T114" s="51" t="s">
        <v>15</v>
      </c>
      <c r="U114" s="58"/>
      <c r="W114" s="16">
        <f>AB115</f>
        <v>118.77142857142857</v>
      </c>
      <c r="X114" s="48" t="s">
        <v>1</v>
      </c>
      <c r="Y114" s="7">
        <f>M114/20+E117/70+K114/30+K115/30+G114/20</f>
        <v>7.4047619047619042</v>
      </c>
      <c r="Z114" s="8" t="s">
        <v>13</v>
      </c>
      <c r="AA114" s="49" t="s">
        <v>14</v>
      </c>
      <c r="AB114" s="50">
        <f>Y120</f>
        <v>862.2899783549783</v>
      </c>
      <c r="AC114" s="51" t="s">
        <v>15</v>
      </c>
      <c r="AD114" s="58"/>
    </row>
    <row r="115" spans="1:30" ht="16.149999999999999" customHeight="1">
      <c r="A115" s="259"/>
      <c r="B115" s="53" t="s">
        <v>35</v>
      </c>
      <c r="C115" s="54">
        <v>0.4</v>
      </c>
      <c r="D115" s="104" t="s">
        <v>145</v>
      </c>
      <c r="E115" s="64">
        <v>20</v>
      </c>
      <c r="F115" s="65"/>
      <c r="G115" s="64"/>
      <c r="H115" s="31"/>
      <c r="I115" s="54"/>
      <c r="J115" s="65" t="s">
        <v>131</v>
      </c>
      <c r="K115" s="128">
        <v>10</v>
      </c>
      <c r="L115" s="12" t="s">
        <v>45</v>
      </c>
      <c r="M115" s="24">
        <v>5</v>
      </c>
      <c r="N115" s="25" t="s">
        <v>19</v>
      </c>
      <c r="O115" s="17" t="s">
        <v>2</v>
      </c>
      <c r="P115" s="18" t="e">
        <f>C114*0.68/40+#REF!/35+E116/25+E118/3/35+K114/225</f>
        <v>#REF!</v>
      </c>
      <c r="Q115" s="19" t="s">
        <v>13</v>
      </c>
      <c r="R115" s="20" t="s">
        <v>17</v>
      </c>
      <c r="S115" s="21" t="e">
        <f>P114*15+P116*5+P117*15+P118*12</f>
        <v>#REF!</v>
      </c>
      <c r="T115" s="19" t="s">
        <v>18</v>
      </c>
      <c r="U115" s="22" t="e">
        <f>S115*4/S114</f>
        <v>#REF!</v>
      </c>
      <c r="W115" s="25" t="s">
        <v>19</v>
      </c>
      <c r="X115" s="17" t="s">
        <v>2</v>
      </c>
      <c r="Y115" s="18">
        <f>C114*0.6/40+E116/55+M119/40+E119/35</f>
        <v>2.8672077922077919</v>
      </c>
      <c r="Z115" s="19" t="s">
        <v>13</v>
      </c>
      <c r="AA115" s="20" t="s">
        <v>17</v>
      </c>
      <c r="AB115" s="21">
        <f>Y114*15+Y116*5+Y117*15+Y118*12</f>
        <v>118.77142857142857</v>
      </c>
      <c r="AC115" s="19" t="s">
        <v>18</v>
      </c>
      <c r="AD115" s="22">
        <f>AB115*4/AB114</f>
        <v>0.55095817672849734</v>
      </c>
    </row>
    <row r="116" spans="1:30" ht="16.149999999999999" customHeight="1">
      <c r="A116" s="259"/>
      <c r="B116" s="104"/>
      <c r="C116" s="128"/>
      <c r="D116" s="104" t="s">
        <v>229</v>
      </c>
      <c r="E116" s="64">
        <v>20</v>
      </c>
      <c r="F116" s="101"/>
      <c r="G116" s="100"/>
      <c r="H116" s="31"/>
      <c r="I116" s="128"/>
      <c r="J116" s="31"/>
      <c r="K116" s="126"/>
      <c r="L116" s="23" t="s">
        <v>54</v>
      </c>
      <c r="M116" s="24">
        <v>5</v>
      </c>
      <c r="N116" s="16" t="e">
        <f>S116</f>
        <v>#REF!</v>
      </c>
      <c r="O116" s="26" t="s">
        <v>20</v>
      </c>
      <c r="P116" s="18" t="e">
        <f>(C117+E114+E115+G114+G115+#REF!+G117+I114+K115+K116+K117)/100</f>
        <v>#REF!</v>
      </c>
      <c r="Q116" s="19" t="s">
        <v>13</v>
      </c>
      <c r="R116" s="20" t="s">
        <v>21</v>
      </c>
      <c r="S116" s="21" t="e">
        <f>P115*5+P118*4+P119*5</f>
        <v>#REF!</v>
      </c>
      <c r="T116" s="19" t="s">
        <v>18</v>
      </c>
      <c r="U116" s="22" t="e">
        <f>S116*9/S114</f>
        <v>#REF!</v>
      </c>
      <c r="W116" s="16">
        <f>AB116</f>
        <v>26.836038961038959</v>
      </c>
      <c r="X116" s="26" t="s">
        <v>20</v>
      </c>
      <c r="Y116" s="18">
        <f>(E114+E115+E118+I114+M115+M116+M118)/100</f>
        <v>1.54</v>
      </c>
      <c r="Z116" s="19" t="s">
        <v>13</v>
      </c>
      <c r="AA116" s="20" t="s">
        <v>21</v>
      </c>
      <c r="AB116" s="21">
        <f>Y115*5+Y118*4+Y119*5</f>
        <v>26.836038961038959</v>
      </c>
      <c r="AC116" s="19" t="s">
        <v>18</v>
      </c>
      <c r="AD116" s="22">
        <f>AB116*9/AB114</f>
        <v>0.2800964370595091</v>
      </c>
    </row>
    <row r="117" spans="1:30" ht="16.149999999999999" customHeight="1">
      <c r="A117" s="259"/>
      <c r="B117" s="104"/>
      <c r="C117" s="148"/>
      <c r="D117" s="92" t="s">
        <v>230</v>
      </c>
      <c r="E117" s="77">
        <v>5</v>
      </c>
      <c r="F117" s="101"/>
      <c r="G117" s="100"/>
      <c r="H117" s="31"/>
      <c r="I117" s="128"/>
      <c r="J117" s="31"/>
      <c r="K117" s="126"/>
      <c r="L117" s="104" t="s">
        <v>211</v>
      </c>
      <c r="M117" s="24">
        <v>3</v>
      </c>
      <c r="N117" s="25" t="s">
        <v>24</v>
      </c>
      <c r="O117" s="84" t="s">
        <v>22</v>
      </c>
      <c r="P117" s="29">
        <v>0</v>
      </c>
      <c r="Q117" s="19" t="s">
        <v>13</v>
      </c>
      <c r="R117" s="20" t="s">
        <v>23</v>
      </c>
      <c r="S117" s="21" t="e">
        <f>P114*2+P115*7+P116*1+P118*8</f>
        <v>#REF!</v>
      </c>
      <c r="T117" s="19" t="s">
        <v>18</v>
      </c>
      <c r="U117" s="22" t="e">
        <f>S117*4/S114</f>
        <v>#REF!</v>
      </c>
      <c r="W117" s="25" t="s">
        <v>24</v>
      </c>
      <c r="X117" s="28" t="s">
        <v>22</v>
      </c>
      <c r="Y117" s="29">
        <v>0</v>
      </c>
      <c r="Z117" s="19" t="s">
        <v>13</v>
      </c>
      <c r="AA117" s="20" t="s">
        <v>23</v>
      </c>
      <c r="AB117" s="21">
        <f>Y114*2+Y115*7+Y116*1+Y118*8</f>
        <v>36.419978354978348</v>
      </c>
      <c r="AC117" s="19" t="s">
        <v>18</v>
      </c>
      <c r="AD117" s="22">
        <f>AB117*4/AB114</f>
        <v>0.16894538621199356</v>
      </c>
    </row>
    <row r="118" spans="1:30" ht="16.149999999999999" customHeight="1">
      <c r="A118" s="259" t="s">
        <v>32</v>
      </c>
      <c r="B118" s="104"/>
      <c r="C118" s="154"/>
      <c r="D118" s="65" t="s">
        <v>56</v>
      </c>
      <c r="E118" s="64">
        <v>1</v>
      </c>
      <c r="F118" s="104"/>
      <c r="G118" s="88"/>
      <c r="H118" s="31"/>
      <c r="I118" s="128"/>
      <c r="J118" s="78"/>
      <c r="K118" s="71"/>
      <c r="L118" s="101" t="s">
        <v>212</v>
      </c>
      <c r="M118" s="100">
        <v>3</v>
      </c>
      <c r="N118" s="16" t="e">
        <f>S117</f>
        <v>#REF!</v>
      </c>
      <c r="O118" s="28" t="s">
        <v>3</v>
      </c>
      <c r="P118" s="29">
        <v>0</v>
      </c>
      <c r="Q118" s="19" t="s">
        <v>13</v>
      </c>
      <c r="R118" s="32"/>
      <c r="S118" s="32"/>
      <c r="T118" s="32"/>
      <c r="U118" s="33" t="e">
        <f>SUM(U115:U117)</f>
        <v>#REF!</v>
      </c>
      <c r="W118" s="16">
        <f>AB117</f>
        <v>36.419978354978348</v>
      </c>
      <c r="X118" s="28" t="s">
        <v>3</v>
      </c>
      <c r="Y118" s="29">
        <v>0</v>
      </c>
      <c r="Z118" s="19" t="s">
        <v>13</v>
      </c>
      <c r="AA118" s="32"/>
      <c r="AB118" s="32"/>
      <c r="AC118" s="32"/>
      <c r="AD118" s="33">
        <f>SUM(AD115:AD117)</f>
        <v>1</v>
      </c>
    </row>
    <row r="119" spans="1:30" ht="16.149999999999999" customHeight="1">
      <c r="A119" s="259"/>
      <c r="B119" s="23"/>
      <c r="C119" s="24"/>
      <c r="D119" s="95" t="s">
        <v>209</v>
      </c>
      <c r="E119" s="120">
        <v>15</v>
      </c>
      <c r="F119" s="104"/>
      <c r="G119" s="88"/>
      <c r="H119" s="37"/>
      <c r="I119" s="27"/>
      <c r="J119" s="55"/>
      <c r="K119" s="63"/>
      <c r="L119" s="12" t="s">
        <v>125</v>
      </c>
      <c r="M119" s="126">
        <v>5</v>
      </c>
      <c r="N119" s="25" t="s">
        <v>27</v>
      </c>
      <c r="O119" s="34" t="s">
        <v>26</v>
      </c>
      <c r="P119" s="29">
        <v>2.5</v>
      </c>
      <c r="Q119" s="19" t="s">
        <v>13</v>
      </c>
      <c r="R119" s="35"/>
      <c r="S119" s="35"/>
      <c r="T119" s="35"/>
      <c r="U119" s="36"/>
      <c r="W119" s="25" t="s">
        <v>27</v>
      </c>
      <c r="X119" s="34" t="s">
        <v>26</v>
      </c>
      <c r="Y119" s="29">
        <v>2.5</v>
      </c>
      <c r="Z119" s="19" t="s">
        <v>13</v>
      </c>
      <c r="AA119" s="35"/>
      <c r="AB119" s="35"/>
      <c r="AC119" s="35"/>
      <c r="AD119" s="36"/>
    </row>
    <row r="120" spans="1:30" ht="16.149999999999999" customHeight="1" thickBot="1">
      <c r="A120" s="260"/>
      <c r="B120" s="261" t="s">
        <v>100</v>
      </c>
      <c r="C120" s="262"/>
      <c r="D120" s="261" t="s">
        <v>100</v>
      </c>
      <c r="E120" s="262"/>
      <c r="F120" s="261" t="s">
        <v>120</v>
      </c>
      <c r="G120" s="262"/>
      <c r="H120" s="273" t="s">
        <v>101</v>
      </c>
      <c r="I120" s="262"/>
      <c r="J120" s="261" t="s">
        <v>102</v>
      </c>
      <c r="K120" s="262"/>
      <c r="L120" s="261" t="s">
        <v>99</v>
      </c>
      <c r="M120" s="262"/>
      <c r="N120" s="43" t="e">
        <f>P120</f>
        <v>#REF!</v>
      </c>
      <c r="O120" s="38" t="s">
        <v>28</v>
      </c>
      <c r="P120" s="39" t="e">
        <f>P114*68+P115*73+P116*24+P117*60+P118*112+P119*45</f>
        <v>#REF!</v>
      </c>
      <c r="Q120" s="40" t="s">
        <v>15</v>
      </c>
      <c r="R120" s="41"/>
      <c r="S120" s="41"/>
      <c r="T120" s="41"/>
      <c r="U120" s="42"/>
      <c r="W120" s="43">
        <f>Y120</f>
        <v>862.2899783549783</v>
      </c>
      <c r="X120" s="38" t="s">
        <v>28</v>
      </c>
      <c r="Y120" s="39">
        <f>Y114*68+Y115*73+Y116*24+Y117*60+Y118*112+Y119*45</f>
        <v>862.2899783549783</v>
      </c>
      <c r="Z120" s="40" t="s">
        <v>15</v>
      </c>
      <c r="AA120" s="41"/>
      <c r="AB120" s="41"/>
      <c r="AC120" s="41"/>
      <c r="AD120" s="42"/>
    </row>
    <row r="121" spans="1:30" ht="16.149999999999999" customHeight="1" thickBot="1">
      <c r="A121" s="263">
        <f>A113+1</f>
        <v>43902</v>
      </c>
      <c r="B121" s="268" t="s">
        <v>290</v>
      </c>
      <c r="C121" s="267"/>
      <c r="D121" s="268" t="s">
        <v>170</v>
      </c>
      <c r="E121" s="267"/>
      <c r="F121" s="264" t="s">
        <v>171</v>
      </c>
      <c r="G121" s="269"/>
      <c r="H121" s="264" t="s">
        <v>33</v>
      </c>
      <c r="I121" s="269"/>
      <c r="J121" s="268" t="s">
        <v>127</v>
      </c>
      <c r="K121" s="283"/>
      <c r="L121" s="276" t="s">
        <v>142</v>
      </c>
      <c r="M121" s="277"/>
      <c r="N121" s="5" t="s">
        <v>12</v>
      </c>
      <c r="O121" s="253" t="s">
        <v>29</v>
      </c>
      <c r="P121" s="254"/>
      <c r="Q121" s="255"/>
      <c r="R121" s="256" t="s">
        <v>30</v>
      </c>
      <c r="S121" s="257"/>
      <c r="T121" s="257"/>
      <c r="U121" s="258"/>
      <c r="W121" s="5" t="s">
        <v>12</v>
      </c>
      <c r="X121" s="253" t="s">
        <v>29</v>
      </c>
      <c r="Y121" s="254"/>
      <c r="Z121" s="255"/>
      <c r="AA121" s="256" t="s">
        <v>30</v>
      </c>
      <c r="AB121" s="257"/>
      <c r="AC121" s="257"/>
      <c r="AD121" s="258"/>
    </row>
    <row r="122" spans="1:30" ht="16.149999999999999" customHeight="1">
      <c r="A122" s="259"/>
      <c r="B122" s="61" t="s">
        <v>252</v>
      </c>
      <c r="C122" s="166">
        <v>130</v>
      </c>
      <c r="D122" s="61" t="s">
        <v>231</v>
      </c>
      <c r="E122" s="15">
        <v>25</v>
      </c>
      <c r="F122" s="115" t="s">
        <v>226</v>
      </c>
      <c r="G122" s="128">
        <v>15</v>
      </c>
      <c r="H122" s="110" t="s">
        <v>63</v>
      </c>
      <c r="I122" s="13">
        <v>100</v>
      </c>
      <c r="J122" s="61" t="s">
        <v>72</v>
      </c>
      <c r="K122" s="155">
        <v>10</v>
      </c>
      <c r="L122" s="61" t="s">
        <v>34</v>
      </c>
      <c r="M122" s="15">
        <v>140</v>
      </c>
      <c r="N122" s="16">
        <f>S123</f>
        <v>127.01923076923077</v>
      </c>
      <c r="O122" s="48" t="s">
        <v>1</v>
      </c>
      <c r="P122" s="29">
        <f>E122/65+E124/45+E125/90+M122/20</f>
        <v>7.884615384615385</v>
      </c>
      <c r="Q122" s="8" t="s">
        <v>13</v>
      </c>
      <c r="R122" s="49" t="s">
        <v>14</v>
      </c>
      <c r="S122" s="50">
        <f>P128</f>
        <v>1010.2895604395604</v>
      </c>
      <c r="T122" s="51" t="s">
        <v>15</v>
      </c>
      <c r="U122" s="52" t="s">
        <v>16</v>
      </c>
      <c r="W122" s="16">
        <f>AB123</f>
        <v>121.93961038961038</v>
      </c>
      <c r="X122" s="48" t="s">
        <v>1</v>
      </c>
      <c r="Y122" s="7">
        <f>M122/20+E126/70+E122/55</f>
        <v>7.5259740259740253</v>
      </c>
      <c r="Z122" s="8" t="s">
        <v>13</v>
      </c>
      <c r="AA122" s="49" t="s">
        <v>14</v>
      </c>
      <c r="AB122" s="50">
        <f>Y128</f>
        <v>878.55623376623385</v>
      </c>
      <c r="AC122" s="51" t="s">
        <v>15</v>
      </c>
      <c r="AD122" s="52" t="s">
        <v>16</v>
      </c>
    </row>
    <row r="123" spans="1:30" ht="16.149999999999999" customHeight="1">
      <c r="A123" s="259"/>
      <c r="B123" s="55" t="s">
        <v>35</v>
      </c>
      <c r="C123" s="56">
        <v>0.4</v>
      </c>
      <c r="D123" s="67" t="s">
        <v>109</v>
      </c>
      <c r="E123" s="126">
        <v>15</v>
      </c>
      <c r="F123" s="108" t="s">
        <v>232</v>
      </c>
      <c r="G123" s="77">
        <v>20</v>
      </c>
      <c r="H123" s="55"/>
      <c r="I123" s="63"/>
      <c r="J123" s="104" t="s">
        <v>70</v>
      </c>
      <c r="K123" s="156">
        <v>5</v>
      </c>
      <c r="L123" s="104"/>
      <c r="M123" s="128"/>
      <c r="N123" s="25" t="s">
        <v>19</v>
      </c>
      <c r="O123" s="17" t="s">
        <v>2</v>
      </c>
      <c r="P123" s="18">
        <f>C122/35+E126/35+G125/35+K99*0.65/35</f>
        <v>4.3785714285714281</v>
      </c>
      <c r="Q123" s="19" t="s">
        <v>13</v>
      </c>
      <c r="R123" s="20" t="s">
        <v>17</v>
      </c>
      <c r="S123" s="21">
        <f>P122*15+P124*5+P125*15+P126*12</f>
        <v>127.01923076923077</v>
      </c>
      <c r="T123" s="19" t="s">
        <v>18</v>
      </c>
      <c r="U123" s="22">
        <f>S123*4/S122</f>
        <v>0.50290227967501433</v>
      </c>
      <c r="W123" s="25" t="s">
        <v>19</v>
      </c>
      <c r="X123" s="17" t="s">
        <v>2</v>
      </c>
      <c r="Y123" s="18">
        <f>C122*0.6/40+G122/35+E124/35</f>
        <v>2.95</v>
      </c>
      <c r="Z123" s="19" t="s">
        <v>13</v>
      </c>
      <c r="AA123" s="20" t="s">
        <v>17</v>
      </c>
      <c r="AB123" s="21">
        <f>Y122*15+Y124*5+Y125*15+Y126*12</f>
        <v>121.93961038961038</v>
      </c>
      <c r="AC123" s="19" t="s">
        <v>18</v>
      </c>
      <c r="AD123" s="22">
        <f>AB123*4/AB122</f>
        <v>0.55518181171795566</v>
      </c>
    </row>
    <row r="124" spans="1:30" ht="16.149999999999999" customHeight="1">
      <c r="A124" s="259"/>
      <c r="B124" s="104"/>
      <c r="C124" s="170"/>
      <c r="D124" s="104" t="s">
        <v>76</v>
      </c>
      <c r="E124" s="126">
        <v>20</v>
      </c>
      <c r="F124" s="104" t="s">
        <v>233</v>
      </c>
      <c r="G124" s="128">
        <v>5</v>
      </c>
      <c r="H124" s="12"/>
      <c r="I124" s="126"/>
      <c r="J124" s="67" t="s">
        <v>49</v>
      </c>
      <c r="K124" s="124">
        <v>3</v>
      </c>
      <c r="L124" s="115"/>
      <c r="M124" s="128"/>
      <c r="N124" s="16">
        <f>S124</f>
        <v>34.392857142857139</v>
      </c>
      <c r="O124" s="26" t="s">
        <v>20</v>
      </c>
      <c r="P124" s="18">
        <f>(E123+E127+G122+G123+G124+I122+K98)/100</f>
        <v>1.75</v>
      </c>
      <c r="Q124" s="19" t="s">
        <v>13</v>
      </c>
      <c r="R124" s="20" t="s">
        <v>21</v>
      </c>
      <c r="S124" s="21">
        <f>P123*5+P126*4+P127*5</f>
        <v>34.392857142857139</v>
      </c>
      <c r="T124" s="19" t="s">
        <v>18</v>
      </c>
      <c r="U124" s="22">
        <f>S124*9/S122</f>
        <v>0.30638316617964489</v>
      </c>
      <c r="W124" s="16">
        <f>AB124</f>
        <v>26.75</v>
      </c>
      <c r="X124" s="26" t="s">
        <v>20</v>
      </c>
      <c r="Y124" s="18">
        <f>(I122+G123+E125+G125+K122+K123+K125+E123+G126+K124)/100</f>
        <v>1.81</v>
      </c>
      <c r="Z124" s="19" t="s">
        <v>13</v>
      </c>
      <c r="AA124" s="20" t="s">
        <v>21</v>
      </c>
      <c r="AB124" s="21">
        <f>Y123*5+Y126*4+Y127*5</f>
        <v>26.75</v>
      </c>
      <c r="AC124" s="19" t="s">
        <v>18</v>
      </c>
      <c r="AD124" s="22">
        <f>AB124*9/AB122</f>
        <v>0.27402912955035585</v>
      </c>
    </row>
    <row r="125" spans="1:30" ht="16.149999999999999" customHeight="1">
      <c r="A125" s="259"/>
      <c r="B125" s="55"/>
      <c r="C125" s="56"/>
      <c r="D125" s="67" t="s">
        <v>145</v>
      </c>
      <c r="E125" s="128">
        <v>5</v>
      </c>
      <c r="F125" s="104" t="s">
        <v>58</v>
      </c>
      <c r="G125" s="128">
        <v>15</v>
      </c>
      <c r="H125" s="95"/>
      <c r="I125" s="94"/>
      <c r="J125" s="67" t="s">
        <v>145</v>
      </c>
      <c r="K125" s="124">
        <v>3</v>
      </c>
      <c r="L125" s="101"/>
      <c r="M125" s="100"/>
      <c r="N125" s="25" t="s">
        <v>24</v>
      </c>
      <c r="O125" s="84" t="s">
        <v>22</v>
      </c>
      <c r="P125" s="29">
        <v>0</v>
      </c>
      <c r="Q125" s="19" t="s">
        <v>13</v>
      </c>
      <c r="R125" s="20" t="s">
        <v>23</v>
      </c>
      <c r="S125" s="21">
        <f>P122*2+P123*7+P124*1+P126*8</f>
        <v>48.169230769230765</v>
      </c>
      <c r="T125" s="19" t="s">
        <v>18</v>
      </c>
      <c r="U125" s="22">
        <f>S125*4/S122</f>
        <v>0.19071455414534075</v>
      </c>
      <c r="W125" s="25" t="s">
        <v>24</v>
      </c>
      <c r="X125" s="28" t="s">
        <v>22</v>
      </c>
      <c r="Y125" s="29">
        <v>0</v>
      </c>
      <c r="Z125" s="19" t="s">
        <v>13</v>
      </c>
      <c r="AA125" s="20" t="s">
        <v>23</v>
      </c>
      <c r="AB125" s="21">
        <f>Y122*2+Y123*7+Y124*1+Y126*8</f>
        <v>37.511948051948053</v>
      </c>
      <c r="AC125" s="19" t="s">
        <v>18</v>
      </c>
      <c r="AD125" s="22">
        <f>AB125*4/AB122</f>
        <v>0.17078905873168834</v>
      </c>
    </row>
    <row r="126" spans="1:30" ht="16.149999999999999" customHeight="1">
      <c r="A126" s="259" t="s">
        <v>36</v>
      </c>
      <c r="B126" s="104"/>
      <c r="C126" s="128"/>
      <c r="D126" s="104" t="s">
        <v>90</v>
      </c>
      <c r="E126" s="128">
        <v>5</v>
      </c>
      <c r="F126" s="37" t="s">
        <v>145</v>
      </c>
      <c r="G126" s="128">
        <v>5</v>
      </c>
      <c r="H126" s="101"/>
      <c r="I126" s="137"/>
      <c r="L126" s="115"/>
      <c r="M126" s="128"/>
      <c r="N126" s="16">
        <f>S125</f>
        <v>48.169230769230765</v>
      </c>
      <c r="O126" s="28" t="s">
        <v>3</v>
      </c>
      <c r="P126" s="29">
        <v>0</v>
      </c>
      <c r="Q126" s="19" t="s">
        <v>13</v>
      </c>
      <c r="R126" s="32"/>
      <c r="S126" s="32"/>
      <c r="T126" s="32"/>
      <c r="U126" s="33">
        <f>SUM(U123:U125)</f>
        <v>1</v>
      </c>
      <c r="W126" s="16">
        <f>AB125</f>
        <v>37.511948051948053</v>
      </c>
      <c r="X126" s="28" t="s">
        <v>3</v>
      </c>
      <c r="Y126" s="29">
        <v>0</v>
      </c>
      <c r="Z126" s="19" t="s">
        <v>13</v>
      </c>
      <c r="AA126" s="32"/>
      <c r="AB126" s="32"/>
      <c r="AC126" s="32"/>
      <c r="AD126" s="33">
        <f>SUM(AD123:AD125)</f>
        <v>0.99999999999999989</v>
      </c>
    </row>
    <row r="127" spans="1:30" ht="16.149999999999999" customHeight="1">
      <c r="A127" s="259"/>
      <c r="B127" s="115"/>
      <c r="C127" s="128"/>
      <c r="D127" s="95"/>
      <c r="E127" s="94"/>
      <c r="F127" s="115"/>
      <c r="G127" s="128"/>
      <c r="H127" s="101"/>
      <c r="I127" s="137"/>
      <c r="L127" s="115"/>
      <c r="M127" s="128"/>
      <c r="N127" s="25" t="s">
        <v>27</v>
      </c>
      <c r="O127" s="34" t="s">
        <v>26</v>
      </c>
      <c r="P127" s="29">
        <v>2.5</v>
      </c>
      <c r="Q127" s="19" t="s">
        <v>13</v>
      </c>
      <c r="R127" s="35"/>
      <c r="S127" s="35"/>
      <c r="T127" s="35"/>
      <c r="U127" s="36"/>
      <c r="W127" s="25" t="s">
        <v>27</v>
      </c>
      <c r="X127" s="34" t="s">
        <v>26</v>
      </c>
      <c r="Y127" s="29">
        <v>2.4</v>
      </c>
      <c r="Z127" s="19" t="s">
        <v>13</v>
      </c>
      <c r="AA127" s="35"/>
      <c r="AB127" s="35"/>
      <c r="AC127" s="35"/>
      <c r="AD127" s="36"/>
    </row>
    <row r="128" spans="1:30" ht="16.149999999999999" customHeight="1" thickBot="1">
      <c r="A128" s="260"/>
      <c r="B128" s="261" t="s">
        <v>104</v>
      </c>
      <c r="C128" s="262"/>
      <c r="D128" s="273" t="s">
        <v>99</v>
      </c>
      <c r="E128" s="262"/>
      <c r="F128" s="261" t="s">
        <v>102</v>
      </c>
      <c r="G128" s="262"/>
      <c r="H128" s="261" t="s">
        <v>101</v>
      </c>
      <c r="I128" s="262"/>
      <c r="J128" s="261" t="s">
        <v>102</v>
      </c>
      <c r="K128" s="262"/>
      <c r="L128" s="261" t="s">
        <v>103</v>
      </c>
      <c r="M128" s="262"/>
      <c r="N128" s="43">
        <f>P128</f>
        <v>1010.2895604395604</v>
      </c>
      <c r="O128" s="38" t="s">
        <v>28</v>
      </c>
      <c r="P128" s="39">
        <f>P122*68+P123*73+P124*24+P125*60+P126*112+P127*45</f>
        <v>1010.2895604395604</v>
      </c>
      <c r="Q128" s="40" t="s">
        <v>15</v>
      </c>
      <c r="R128" s="41"/>
      <c r="S128" s="41"/>
      <c r="T128" s="41"/>
      <c r="U128" s="42"/>
      <c r="W128" s="43">
        <f>Y128</f>
        <v>878.55623376623385</v>
      </c>
      <c r="X128" s="38" t="s">
        <v>28</v>
      </c>
      <c r="Y128" s="39">
        <f>Y122*68+Y123*73+Y124*24+Y125*60+Y126*112+Y127*45</f>
        <v>878.55623376623385</v>
      </c>
      <c r="Z128" s="40" t="s">
        <v>15</v>
      </c>
      <c r="AA128" s="41"/>
      <c r="AB128" s="41"/>
      <c r="AC128" s="41"/>
      <c r="AD128" s="42"/>
    </row>
    <row r="129" spans="1:30" ht="16.149999999999999" customHeight="1" thickBot="1">
      <c r="A129" s="263">
        <f>A121+1</f>
        <v>43903</v>
      </c>
      <c r="B129" s="264" t="s">
        <v>164</v>
      </c>
      <c r="C129" s="269"/>
      <c r="D129" s="264" t="s">
        <v>234</v>
      </c>
      <c r="E129" s="269"/>
      <c r="F129" s="264" t="s">
        <v>0</v>
      </c>
      <c r="G129" s="269"/>
      <c r="H129" s="264" t="s">
        <v>37</v>
      </c>
      <c r="I129" s="269"/>
      <c r="J129" s="264" t="s">
        <v>95</v>
      </c>
      <c r="K129" s="269"/>
      <c r="L129" s="276" t="s">
        <v>142</v>
      </c>
      <c r="M129" s="277"/>
      <c r="N129" s="5" t="s">
        <v>12</v>
      </c>
      <c r="O129" s="253" t="s">
        <v>29</v>
      </c>
      <c r="P129" s="254"/>
      <c r="Q129" s="255"/>
      <c r="R129" s="256" t="s">
        <v>30</v>
      </c>
      <c r="S129" s="257"/>
      <c r="T129" s="257"/>
      <c r="U129" s="258"/>
      <c r="W129" s="5" t="s">
        <v>12</v>
      </c>
      <c r="X129" s="253" t="s">
        <v>29</v>
      </c>
      <c r="Y129" s="254"/>
      <c r="Z129" s="255"/>
      <c r="AA129" s="256" t="s">
        <v>30</v>
      </c>
      <c r="AB129" s="257"/>
      <c r="AC129" s="257"/>
      <c r="AD129" s="258"/>
    </row>
    <row r="130" spans="1:30" ht="16.149999999999999" customHeight="1">
      <c r="A130" s="259"/>
      <c r="B130" s="104" t="s">
        <v>88</v>
      </c>
      <c r="C130" s="126">
        <v>60</v>
      </c>
      <c r="D130" s="116" t="s">
        <v>51</v>
      </c>
      <c r="E130" s="157">
        <v>50</v>
      </c>
      <c r="F130" s="115" t="s">
        <v>66</v>
      </c>
      <c r="G130" s="128">
        <v>20</v>
      </c>
      <c r="H130" s="57" t="s">
        <v>57</v>
      </c>
      <c r="I130" s="47">
        <v>100</v>
      </c>
      <c r="J130" s="97" t="s">
        <v>84</v>
      </c>
      <c r="K130" s="98">
        <v>15</v>
      </c>
      <c r="L130" s="61" t="s">
        <v>34</v>
      </c>
      <c r="M130" s="15">
        <v>130</v>
      </c>
      <c r="N130" s="16" t="e">
        <f>S131</f>
        <v>#REF!</v>
      </c>
      <c r="O130" s="48" t="s">
        <v>1</v>
      </c>
      <c r="P130" s="29">
        <f>E130/65+E132/45+E133/90+M130/20</f>
        <v>7.3803418803418808</v>
      </c>
      <c r="Q130" s="8" t="s">
        <v>13</v>
      </c>
      <c r="R130" s="49" t="s">
        <v>14</v>
      </c>
      <c r="S130" s="50" t="e">
        <f>P136</f>
        <v>#REF!</v>
      </c>
      <c r="T130" s="51" t="s">
        <v>15</v>
      </c>
      <c r="U130" s="52" t="s">
        <v>16</v>
      </c>
      <c r="W130" s="16">
        <f>AB131</f>
        <v>121.25</v>
      </c>
      <c r="X130" s="48" t="s">
        <v>1</v>
      </c>
      <c r="Y130" s="7">
        <f>M130/20+G131/20</f>
        <v>7.5</v>
      </c>
      <c r="Z130" s="8" t="s">
        <v>13</v>
      </c>
      <c r="AA130" s="49" t="s">
        <v>14</v>
      </c>
      <c r="AB130" s="50">
        <f>Y136</f>
        <v>875.62256493506493</v>
      </c>
      <c r="AC130" s="51" t="s">
        <v>15</v>
      </c>
      <c r="AD130" s="52" t="s">
        <v>16</v>
      </c>
    </row>
    <row r="131" spans="1:30" ht="16.149999999999999" customHeight="1">
      <c r="A131" s="259"/>
      <c r="B131" s="23" t="s">
        <v>72</v>
      </c>
      <c r="C131" s="24">
        <v>15</v>
      </c>
      <c r="D131" s="117" t="s">
        <v>54</v>
      </c>
      <c r="E131" s="158">
        <v>15</v>
      </c>
      <c r="F131" s="108" t="s">
        <v>52</v>
      </c>
      <c r="G131" s="77">
        <v>20</v>
      </c>
      <c r="H131" s="23"/>
      <c r="I131" s="126"/>
      <c r="J131" s="99" t="s">
        <v>54</v>
      </c>
      <c r="K131" s="100">
        <v>10</v>
      </c>
      <c r="L131" s="104"/>
      <c r="M131" s="128"/>
      <c r="N131" s="25" t="s">
        <v>19</v>
      </c>
      <c r="O131" s="17" t="s">
        <v>2</v>
      </c>
      <c r="P131" s="18" t="e">
        <f>C130/35+E134/35+#REF!/35+#REF!*0.65/35</f>
        <v>#REF!</v>
      </c>
      <c r="Q131" s="19" t="s">
        <v>13</v>
      </c>
      <c r="R131" s="20" t="s">
        <v>17</v>
      </c>
      <c r="S131" s="21" t="e">
        <f>P130*15+P132*5+P133*15+P134*12</f>
        <v>#REF!</v>
      </c>
      <c r="T131" s="19" t="s">
        <v>18</v>
      </c>
      <c r="U131" s="22" t="e">
        <f>S131*4/S130</f>
        <v>#REF!</v>
      </c>
      <c r="W131" s="25" t="s">
        <v>19</v>
      </c>
      <c r="X131" s="17" t="s">
        <v>2</v>
      </c>
      <c r="Y131" s="18">
        <f>C130/35+E130/55+K130/80+G133/35</f>
        <v>2.9537337662337659</v>
      </c>
      <c r="Z131" s="19" t="s">
        <v>13</v>
      </c>
      <c r="AA131" s="20" t="s">
        <v>17</v>
      </c>
      <c r="AB131" s="21">
        <f>Y130*15+Y132*5+Y133*15+Y134*12</f>
        <v>121.25</v>
      </c>
      <c r="AC131" s="19" t="s">
        <v>18</v>
      </c>
      <c r="AD131" s="22">
        <f>AB131*4/AB130</f>
        <v>0.55389161885745486</v>
      </c>
    </row>
    <row r="132" spans="1:30" ht="16.149999999999999" customHeight="1">
      <c r="A132" s="259"/>
      <c r="B132" s="23" t="s">
        <v>236</v>
      </c>
      <c r="C132" s="126">
        <v>1</v>
      </c>
      <c r="D132" s="117" t="s">
        <v>60</v>
      </c>
      <c r="E132" s="158">
        <v>5</v>
      </c>
      <c r="F132" s="104" t="s">
        <v>49</v>
      </c>
      <c r="G132" s="128">
        <v>3</v>
      </c>
      <c r="H132" s="23"/>
      <c r="I132" s="126"/>
      <c r="J132" s="31" t="s">
        <v>85</v>
      </c>
      <c r="K132" s="128">
        <v>3</v>
      </c>
      <c r="L132" s="115"/>
      <c r="M132" s="128"/>
      <c r="N132" s="16" t="e">
        <f>S132</f>
        <v>#REF!</v>
      </c>
      <c r="O132" s="26" t="s">
        <v>20</v>
      </c>
      <c r="P132" s="18" t="e">
        <f>(E131+E135+G130+G131+G132+I130+#REF!)/100</f>
        <v>#REF!</v>
      </c>
      <c r="Q132" s="19" t="s">
        <v>13</v>
      </c>
      <c r="R132" s="20" t="s">
        <v>21</v>
      </c>
      <c r="S132" s="21" t="e">
        <f>P131*5+P134*4+P135*5</f>
        <v>#REF!</v>
      </c>
      <c r="T132" s="19" t="s">
        <v>18</v>
      </c>
      <c r="U132" s="22" t="e">
        <f>S132*9/S130</f>
        <v>#REF!</v>
      </c>
      <c r="W132" s="16">
        <f>AB132</f>
        <v>26.768668831168831</v>
      </c>
      <c r="X132" s="26" t="s">
        <v>20</v>
      </c>
      <c r="Y132" s="18">
        <f>(C132+I130+G130+K132+C131+E131+E132+G132+G134+K131+K133)/100</f>
        <v>1.75</v>
      </c>
      <c r="Z132" s="19" t="s">
        <v>13</v>
      </c>
      <c r="AA132" s="20" t="s">
        <v>21</v>
      </c>
      <c r="AB132" s="21">
        <f>Y131*5+Y134*4+Y135*5</f>
        <v>26.768668831168831</v>
      </c>
      <c r="AC132" s="19" t="s">
        <v>18</v>
      </c>
      <c r="AD132" s="22">
        <f>AB132*9/AB130</f>
        <v>0.27513911715875627</v>
      </c>
    </row>
    <row r="133" spans="1:30" ht="16.149999999999999" customHeight="1">
      <c r="A133" s="259"/>
      <c r="B133" s="104"/>
      <c r="C133" s="128"/>
      <c r="D133" s="23"/>
      <c r="E133" s="126"/>
      <c r="F133" s="104" t="s">
        <v>76</v>
      </c>
      <c r="G133" s="128">
        <v>5</v>
      </c>
      <c r="H133" s="12"/>
      <c r="I133" s="126"/>
      <c r="J133" s="99" t="s">
        <v>82</v>
      </c>
      <c r="K133" s="100">
        <v>1</v>
      </c>
      <c r="L133" s="101"/>
      <c r="M133" s="100"/>
      <c r="N133" s="25" t="s">
        <v>24</v>
      </c>
      <c r="O133" s="84" t="s">
        <v>22</v>
      </c>
      <c r="P133" s="29">
        <v>0</v>
      </c>
      <c r="Q133" s="19" t="s">
        <v>13</v>
      </c>
      <c r="R133" s="20" t="s">
        <v>23</v>
      </c>
      <c r="S133" s="21" t="e">
        <f>P130*2+P131*7+P132*1+P134*8</f>
        <v>#REF!</v>
      </c>
      <c r="T133" s="19" t="s">
        <v>18</v>
      </c>
      <c r="U133" s="22" t="e">
        <f>S133*4/S130</f>
        <v>#REF!</v>
      </c>
      <c r="W133" s="25" t="s">
        <v>24</v>
      </c>
      <c r="X133" s="28" t="s">
        <v>22</v>
      </c>
      <c r="Y133" s="29">
        <v>0</v>
      </c>
      <c r="Z133" s="19" t="s">
        <v>13</v>
      </c>
      <c r="AA133" s="20" t="s">
        <v>23</v>
      </c>
      <c r="AB133" s="21">
        <f>Y130*2+Y131*7+Y132*1+Y134*8</f>
        <v>37.42613636363636</v>
      </c>
      <c r="AC133" s="19" t="s">
        <v>18</v>
      </c>
      <c r="AD133" s="22">
        <f>AB133*4/AB130</f>
        <v>0.17096926398378889</v>
      </c>
    </row>
    <row r="134" spans="1:30" ht="16.149999999999999" customHeight="1">
      <c r="A134" s="259" t="s">
        <v>38</v>
      </c>
      <c r="B134" s="81"/>
      <c r="C134" s="77"/>
      <c r="D134" s="12"/>
      <c r="E134" s="126"/>
      <c r="F134" s="37" t="s">
        <v>145</v>
      </c>
      <c r="G134" s="128">
        <v>2</v>
      </c>
      <c r="H134" s="12"/>
      <c r="I134" s="126"/>
      <c r="J134" s="104"/>
      <c r="K134" s="128"/>
      <c r="L134" s="115"/>
      <c r="M134" s="128"/>
      <c r="N134" s="16" t="e">
        <f>S133</f>
        <v>#REF!</v>
      </c>
      <c r="O134" s="28" t="s">
        <v>3</v>
      </c>
      <c r="P134" s="29">
        <v>0</v>
      </c>
      <c r="Q134" s="19" t="s">
        <v>13</v>
      </c>
      <c r="R134" s="32"/>
      <c r="S134" s="32"/>
      <c r="T134" s="32"/>
      <c r="U134" s="33" t="e">
        <f>SUM(U131:U133)</f>
        <v>#REF!</v>
      </c>
      <c r="W134" s="16">
        <f>AB133</f>
        <v>37.42613636363636</v>
      </c>
      <c r="X134" s="28" t="s">
        <v>3</v>
      </c>
      <c r="Y134" s="29">
        <v>0</v>
      </c>
      <c r="Z134" s="19" t="s">
        <v>13</v>
      </c>
      <c r="AA134" s="32"/>
      <c r="AB134" s="32"/>
      <c r="AC134" s="32"/>
      <c r="AD134" s="33">
        <f>SUM(AD131:AD133)</f>
        <v>1</v>
      </c>
    </row>
    <row r="135" spans="1:30" ht="16.149999999999999" customHeight="1">
      <c r="A135" s="259"/>
      <c r="B135" s="115"/>
      <c r="C135" s="128"/>
      <c r="D135" s="12"/>
      <c r="E135" s="126"/>
      <c r="F135" s="115"/>
      <c r="G135" s="125"/>
      <c r="H135" s="73"/>
      <c r="I135" s="71"/>
      <c r="J135" s="55"/>
      <c r="K135" s="56"/>
      <c r="L135" s="115"/>
      <c r="M135" s="128"/>
      <c r="N135" s="25" t="s">
        <v>27</v>
      </c>
      <c r="O135" s="34" t="s">
        <v>26</v>
      </c>
      <c r="P135" s="29">
        <v>2.5</v>
      </c>
      <c r="Q135" s="19" t="s">
        <v>13</v>
      </c>
      <c r="R135" s="35"/>
      <c r="S135" s="35"/>
      <c r="T135" s="35"/>
      <c r="U135" s="36"/>
      <c r="W135" s="25" t="s">
        <v>27</v>
      </c>
      <c r="X135" s="34" t="s">
        <v>26</v>
      </c>
      <c r="Y135" s="29">
        <v>2.4</v>
      </c>
      <c r="Z135" s="19" t="s">
        <v>13</v>
      </c>
      <c r="AA135" s="35"/>
      <c r="AB135" s="35"/>
      <c r="AC135" s="35"/>
      <c r="AD135" s="36"/>
    </row>
    <row r="136" spans="1:30" ht="16.149999999999999" customHeight="1" thickBot="1">
      <c r="A136" s="260"/>
      <c r="B136" s="261" t="s">
        <v>104</v>
      </c>
      <c r="C136" s="262"/>
      <c r="D136" s="261" t="s">
        <v>99</v>
      </c>
      <c r="E136" s="262"/>
      <c r="F136" s="261" t="s">
        <v>99</v>
      </c>
      <c r="G136" s="262"/>
      <c r="H136" s="261" t="s">
        <v>101</v>
      </c>
      <c r="I136" s="262"/>
      <c r="J136" s="261" t="s">
        <v>102</v>
      </c>
      <c r="K136" s="262"/>
      <c r="L136" s="261" t="s">
        <v>103</v>
      </c>
      <c r="M136" s="262"/>
      <c r="N136" s="43" t="e">
        <f>P136</f>
        <v>#REF!</v>
      </c>
      <c r="O136" s="38" t="s">
        <v>28</v>
      </c>
      <c r="P136" s="39" t="e">
        <f>P130*68+P131*73+P132*24+P133*60+P134*112+P135*45</f>
        <v>#REF!</v>
      </c>
      <c r="Q136" s="40" t="s">
        <v>15</v>
      </c>
      <c r="R136" s="41"/>
      <c r="S136" s="41"/>
      <c r="T136" s="41"/>
      <c r="U136" s="42"/>
      <c r="W136" s="43">
        <f>Y136</f>
        <v>875.62256493506493</v>
      </c>
      <c r="X136" s="38" t="s">
        <v>28</v>
      </c>
      <c r="Y136" s="39">
        <f>Y130*68+Y131*73+Y132*24+Y133*60+Y134*112+Y135*45</f>
        <v>875.62256493506493</v>
      </c>
      <c r="Z136" s="40" t="s">
        <v>15</v>
      </c>
      <c r="AA136" s="41"/>
      <c r="AB136" s="41"/>
      <c r="AC136" s="41"/>
      <c r="AD136" s="42"/>
    </row>
    <row r="137" spans="1:30">
      <c r="A137" s="247" t="s">
        <v>39</v>
      </c>
      <c r="B137" s="248"/>
      <c r="C137" s="248"/>
      <c r="D137" s="248"/>
      <c r="E137" s="248"/>
      <c r="F137" s="248"/>
      <c r="G137" s="248"/>
      <c r="H137" s="248"/>
      <c r="I137" s="248"/>
      <c r="J137" s="248"/>
      <c r="K137" s="248"/>
      <c r="L137" s="248"/>
      <c r="M137" s="248"/>
    </row>
    <row r="138" spans="1:30" ht="16.149999999999999" customHeight="1">
      <c r="A138" s="249" t="s">
        <v>40</v>
      </c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</row>
    <row r="139" spans="1:30">
      <c r="A139" s="250" t="s">
        <v>41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</row>
    <row r="140" spans="1:30" ht="16.149999999999999" customHeight="1">
      <c r="A140" s="251" t="s">
        <v>42</v>
      </c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</row>
    <row r="141" spans="1:30">
      <c r="A141" s="252" t="s">
        <v>43</v>
      </c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</row>
    <row r="142" spans="1:30" ht="22.6" thickBot="1">
      <c r="A142" s="279" t="s">
        <v>237</v>
      </c>
      <c r="B142" s="279"/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</row>
    <row r="143" spans="1:30" ht="32.799999999999997" thickBot="1">
      <c r="A143" s="74" t="s">
        <v>4</v>
      </c>
      <c r="B143" s="75" t="s">
        <v>5</v>
      </c>
      <c r="C143" s="4" t="s">
        <v>6</v>
      </c>
      <c r="D143" s="75" t="s">
        <v>7</v>
      </c>
      <c r="E143" s="4" t="s">
        <v>6</v>
      </c>
      <c r="F143" s="75" t="s">
        <v>7</v>
      </c>
      <c r="G143" s="4" t="s">
        <v>6</v>
      </c>
      <c r="H143" s="75" t="s">
        <v>7</v>
      </c>
      <c r="I143" s="4" t="s">
        <v>6</v>
      </c>
      <c r="J143" s="75" t="s">
        <v>8</v>
      </c>
      <c r="K143" s="4" t="s">
        <v>6</v>
      </c>
      <c r="L143" s="75" t="s">
        <v>9</v>
      </c>
      <c r="M143" s="4" t="s">
        <v>6</v>
      </c>
      <c r="N143" s="4" t="s">
        <v>10</v>
      </c>
      <c r="O143" s="280" t="s">
        <v>11</v>
      </c>
      <c r="P143" s="281"/>
      <c r="Q143" s="281"/>
      <c r="R143" s="281"/>
      <c r="S143" s="281"/>
      <c r="T143" s="281"/>
      <c r="U143" s="282"/>
      <c r="W143" s="4" t="s">
        <v>10</v>
      </c>
      <c r="X143" s="280" t="s">
        <v>11</v>
      </c>
      <c r="Y143" s="281"/>
      <c r="Z143" s="281"/>
      <c r="AA143" s="281"/>
      <c r="AB143" s="281"/>
      <c r="AC143" s="281"/>
      <c r="AD143" s="282"/>
    </row>
    <row r="144" spans="1:30" ht="16.149999999999999" customHeight="1" thickBot="1">
      <c r="A144" s="263">
        <f>A129+3</f>
        <v>43906</v>
      </c>
      <c r="B144" s="264" t="s">
        <v>172</v>
      </c>
      <c r="C144" s="269"/>
      <c r="D144" s="264" t="s">
        <v>173</v>
      </c>
      <c r="E144" s="269"/>
      <c r="F144" s="268" t="s">
        <v>238</v>
      </c>
      <c r="G144" s="270"/>
      <c r="H144" s="268" t="s">
        <v>44</v>
      </c>
      <c r="I144" s="272"/>
      <c r="J144" s="264" t="s">
        <v>64</v>
      </c>
      <c r="K144" s="269"/>
      <c r="L144" s="276" t="s">
        <v>142</v>
      </c>
      <c r="M144" s="277"/>
      <c r="N144" s="5" t="s">
        <v>12</v>
      </c>
      <c r="O144" s="48" t="s">
        <v>1</v>
      </c>
      <c r="P144" s="7">
        <f>C145/65+G145/55+G146/90+K145/20+M145/20+M146/20</f>
        <v>11.098873348873349</v>
      </c>
      <c r="Q144" s="8" t="s">
        <v>13</v>
      </c>
      <c r="R144" s="9" t="s">
        <v>14</v>
      </c>
      <c r="S144" s="10">
        <f>P150</f>
        <v>985.85808902208896</v>
      </c>
      <c r="T144" s="8" t="s">
        <v>15</v>
      </c>
      <c r="U144" s="11" t="s">
        <v>16</v>
      </c>
      <c r="W144" s="5" t="s">
        <v>12</v>
      </c>
      <c r="X144" s="253" t="s">
        <v>29</v>
      </c>
      <c r="Y144" s="254"/>
      <c r="Z144" s="255"/>
      <c r="AA144" s="256" t="s">
        <v>30</v>
      </c>
      <c r="AB144" s="257"/>
      <c r="AC144" s="257"/>
      <c r="AD144" s="258"/>
    </row>
    <row r="145" spans="1:30" ht="16.149999999999999" customHeight="1">
      <c r="A145" s="259"/>
      <c r="B145" s="23" t="s">
        <v>62</v>
      </c>
      <c r="C145" s="24">
        <v>110</v>
      </c>
      <c r="D145" s="101" t="s">
        <v>75</v>
      </c>
      <c r="E145" s="100">
        <v>60</v>
      </c>
      <c r="F145" s="57" t="s">
        <v>239</v>
      </c>
      <c r="G145" s="69">
        <v>30</v>
      </c>
      <c r="H145" s="110" t="s">
        <v>77</v>
      </c>
      <c r="I145" s="76">
        <v>100</v>
      </c>
      <c r="J145" s="96" t="s">
        <v>86</v>
      </c>
      <c r="K145" s="15">
        <v>25</v>
      </c>
      <c r="L145" s="61" t="s">
        <v>34</v>
      </c>
      <c r="M145" s="15">
        <v>150</v>
      </c>
      <c r="N145" s="16">
        <f>S145</f>
        <v>171.80310023310022</v>
      </c>
      <c r="O145" s="17" t="s">
        <v>2</v>
      </c>
      <c r="P145" s="18">
        <f>C147/55+E145/50+E146/35+K148/35</f>
        <v>1.275324675324675</v>
      </c>
      <c r="Q145" s="19" t="s">
        <v>13</v>
      </c>
      <c r="R145" s="20" t="s">
        <v>17</v>
      </c>
      <c r="S145" s="21">
        <f>P144*15+P146*5+P147*15+P148*12</f>
        <v>171.80310023310022</v>
      </c>
      <c r="T145" s="19" t="s">
        <v>18</v>
      </c>
      <c r="U145" s="22">
        <f>S145*4/S144</f>
        <v>0.69707030716162566</v>
      </c>
      <c r="W145" s="16">
        <f>AB146</f>
        <v>120.95</v>
      </c>
      <c r="X145" s="6" t="s">
        <v>1</v>
      </c>
      <c r="Y145" s="7">
        <f>M145/20</f>
        <v>7.5</v>
      </c>
      <c r="Z145" s="8" t="s">
        <v>13</v>
      </c>
      <c r="AA145" s="9" t="s">
        <v>14</v>
      </c>
      <c r="AB145" s="10">
        <f>Y151</f>
        <v>875.23727272727274</v>
      </c>
      <c r="AC145" s="8" t="s">
        <v>15</v>
      </c>
      <c r="AD145" s="11" t="s">
        <v>16</v>
      </c>
    </row>
    <row r="146" spans="1:30" ht="16.149999999999999" customHeight="1">
      <c r="A146" s="259"/>
      <c r="B146" s="106" t="s">
        <v>35</v>
      </c>
      <c r="C146" s="107">
        <v>0.4</v>
      </c>
      <c r="D146" s="23" t="s">
        <v>210</v>
      </c>
      <c r="E146" s="126">
        <v>1</v>
      </c>
      <c r="F146" s="23" t="s">
        <v>145</v>
      </c>
      <c r="G146" s="24">
        <v>10</v>
      </c>
      <c r="H146" s="104"/>
      <c r="I146" s="64"/>
      <c r="J146" s="89" t="s">
        <v>72</v>
      </c>
      <c r="K146" s="128">
        <v>5</v>
      </c>
      <c r="L146" s="104"/>
      <c r="M146" s="128"/>
      <c r="N146" s="25" t="s">
        <v>19</v>
      </c>
      <c r="O146" s="26" t="s">
        <v>20</v>
      </c>
      <c r="P146" s="18">
        <f>(C146+I145+K146+K147+K149)/100</f>
        <v>1.0640000000000001</v>
      </c>
      <c r="Q146" s="19" t="s">
        <v>13</v>
      </c>
      <c r="R146" s="20" t="s">
        <v>21</v>
      </c>
      <c r="S146" s="21">
        <f>P145*5+P148*4+P149*5</f>
        <v>18.876623376623375</v>
      </c>
      <c r="T146" s="19" t="s">
        <v>18</v>
      </c>
      <c r="U146" s="22">
        <f>S146*9/S144</f>
        <v>0.17232663836854095</v>
      </c>
      <c r="W146" s="25" t="s">
        <v>19</v>
      </c>
      <c r="X146" s="17" t="s">
        <v>2</v>
      </c>
      <c r="Y146" s="18">
        <f>C145*0.6/40+E145/55+K145/110</f>
        <v>2.9681818181818178</v>
      </c>
      <c r="Z146" s="19" t="s">
        <v>13</v>
      </c>
      <c r="AA146" s="20" t="s">
        <v>17</v>
      </c>
      <c r="AB146" s="21">
        <f>Y145*15+Y147*5+Y148*15+Y149*12</f>
        <v>120.95</v>
      </c>
      <c r="AC146" s="19" t="s">
        <v>18</v>
      </c>
      <c r="AD146" s="22">
        <f>AB146*4/AB145</f>
        <v>0.55276439323985915</v>
      </c>
    </row>
    <row r="147" spans="1:30" ht="16.149999999999999" customHeight="1">
      <c r="A147" s="259"/>
      <c r="B147" s="23" t="s">
        <v>82</v>
      </c>
      <c r="C147" s="24">
        <v>1</v>
      </c>
      <c r="D147" s="95"/>
      <c r="E147" s="94"/>
      <c r="F147" s="23" t="s">
        <v>49</v>
      </c>
      <c r="G147" s="24">
        <v>10</v>
      </c>
      <c r="H147" s="115"/>
      <c r="I147" s="128"/>
      <c r="J147" s="67" t="s">
        <v>83</v>
      </c>
      <c r="K147" s="24">
        <v>1</v>
      </c>
      <c r="L147" s="115"/>
      <c r="M147" s="128"/>
      <c r="N147" s="16">
        <f>S146</f>
        <v>18.876623376623375</v>
      </c>
      <c r="O147" s="84" t="s">
        <v>22</v>
      </c>
      <c r="P147" s="29">
        <v>0</v>
      </c>
      <c r="Q147" s="19" t="s">
        <v>13</v>
      </c>
      <c r="R147" s="20" t="s">
        <v>23</v>
      </c>
      <c r="S147" s="21">
        <f>P144*2+P145*7+P146*1+P148*8</f>
        <v>32.189019425019424</v>
      </c>
      <c r="T147" s="19" t="s">
        <v>18</v>
      </c>
      <c r="U147" s="22">
        <f>S147*4/S144</f>
        <v>0.13060305446983334</v>
      </c>
      <c r="W147" s="16">
        <f>AB147</f>
        <v>26.84090909090909</v>
      </c>
      <c r="X147" s="26" t="s">
        <v>20</v>
      </c>
      <c r="Y147" s="18">
        <f>(G147+C147+G146+C147+I145+K146+G145+G148+K147+K148)/100</f>
        <v>1.69</v>
      </c>
      <c r="Z147" s="19" t="s">
        <v>13</v>
      </c>
      <c r="AA147" s="20" t="s">
        <v>21</v>
      </c>
      <c r="AB147" s="21">
        <f>Y146*5+Y149*4+Y150*5</f>
        <v>26.84090909090909</v>
      </c>
      <c r="AC147" s="19" t="s">
        <v>18</v>
      </c>
      <c r="AD147" s="22">
        <f>AB147*9/AB145</f>
        <v>0.27600307864568674</v>
      </c>
    </row>
    <row r="148" spans="1:30" ht="16.149999999999999" customHeight="1">
      <c r="A148" s="259"/>
      <c r="B148" s="23"/>
      <c r="C148" s="24"/>
      <c r="D148" s="23"/>
      <c r="E148" s="94"/>
      <c r="F148" s="95" t="s">
        <v>70</v>
      </c>
      <c r="G148" s="94">
        <v>10</v>
      </c>
      <c r="H148" s="115"/>
      <c r="I148" s="128"/>
      <c r="J148" s="31" t="s">
        <v>87</v>
      </c>
      <c r="K148" s="126">
        <v>1</v>
      </c>
      <c r="L148" s="101"/>
      <c r="M148" s="100"/>
      <c r="N148" s="25" t="s">
        <v>24</v>
      </c>
      <c r="O148" s="28" t="s">
        <v>3</v>
      </c>
      <c r="P148" s="29">
        <v>0</v>
      </c>
      <c r="Q148" s="19" t="s">
        <v>13</v>
      </c>
      <c r="R148" s="32"/>
      <c r="S148" s="32"/>
      <c r="T148" s="32"/>
      <c r="U148" s="33">
        <f>SUM(U145:U147)</f>
        <v>1</v>
      </c>
      <c r="W148" s="25" t="s">
        <v>24</v>
      </c>
      <c r="X148" s="28" t="s">
        <v>22</v>
      </c>
      <c r="Y148" s="29">
        <v>0</v>
      </c>
      <c r="Z148" s="19" t="s">
        <v>13</v>
      </c>
      <c r="AA148" s="20" t="s">
        <v>23</v>
      </c>
      <c r="AB148" s="21">
        <f>Y145*2+Y146*7+Y147*1+Y149*8</f>
        <v>37.467272727272722</v>
      </c>
      <c r="AC148" s="19" t="s">
        <v>18</v>
      </c>
      <c r="AD148" s="22">
        <f>AB148*4/AB145</f>
        <v>0.17123252811445414</v>
      </c>
    </row>
    <row r="149" spans="1:30" ht="16.149999999999999" customHeight="1">
      <c r="A149" s="259" t="s">
        <v>25</v>
      </c>
      <c r="B149" s="104"/>
      <c r="C149" s="128"/>
      <c r="F149" s="95"/>
      <c r="G149" s="94"/>
      <c r="H149" s="115"/>
      <c r="I149" s="128"/>
      <c r="J149" s="31"/>
      <c r="K149" s="126"/>
      <c r="L149" s="115"/>
      <c r="M149" s="128"/>
      <c r="N149" s="16">
        <f>S147</f>
        <v>32.189019425019424</v>
      </c>
      <c r="O149" s="34" t="s">
        <v>26</v>
      </c>
      <c r="P149" s="29">
        <v>2.5</v>
      </c>
      <c r="Q149" s="19" t="s">
        <v>13</v>
      </c>
      <c r="R149" s="35"/>
      <c r="S149" s="35"/>
      <c r="T149" s="35"/>
      <c r="U149" s="36"/>
      <c r="W149" s="16">
        <f>AB148</f>
        <v>37.467272727272722</v>
      </c>
      <c r="X149" s="28" t="s">
        <v>3</v>
      </c>
      <c r="Y149" s="29">
        <v>0</v>
      </c>
      <c r="Z149" s="19" t="s">
        <v>13</v>
      </c>
      <c r="AA149" s="32"/>
      <c r="AB149" s="32"/>
      <c r="AC149" s="32"/>
      <c r="AD149" s="33">
        <f>SUM(AD146:AD148)</f>
        <v>1</v>
      </c>
    </row>
    <row r="150" spans="1:30" ht="16.149999999999999" customHeight="1" thickBot="1">
      <c r="A150" s="259"/>
      <c r="B150" s="115"/>
      <c r="C150" s="128"/>
      <c r="D150" s="101"/>
      <c r="E150" s="100"/>
      <c r="F150" s="95"/>
      <c r="G150" s="94"/>
      <c r="H150" s="115"/>
      <c r="I150" s="128"/>
      <c r="J150" s="53"/>
      <c r="K150" s="87"/>
      <c r="L150" s="115"/>
      <c r="M150" s="128"/>
      <c r="N150" s="25" t="s">
        <v>27</v>
      </c>
      <c r="O150" s="38" t="s">
        <v>28</v>
      </c>
      <c r="P150" s="39">
        <f>P144*68+P145*73+P146*24+P147*60+P148*112+P149*45</f>
        <v>985.85808902208896</v>
      </c>
      <c r="Q150" s="40" t="s">
        <v>15</v>
      </c>
      <c r="R150" s="41"/>
      <c r="S150" s="41"/>
      <c r="T150" s="41"/>
      <c r="U150" s="42"/>
      <c r="W150" s="25" t="s">
        <v>27</v>
      </c>
      <c r="X150" s="34" t="s">
        <v>26</v>
      </c>
      <c r="Y150" s="29">
        <v>2.4</v>
      </c>
      <c r="Z150" s="19" t="s">
        <v>13</v>
      </c>
      <c r="AA150" s="35"/>
      <c r="AB150" s="35"/>
      <c r="AC150" s="35"/>
      <c r="AD150" s="36"/>
    </row>
    <row r="151" spans="1:30" ht="16.149999999999999" customHeight="1" thickBot="1">
      <c r="A151" s="260"/>
      <c r="B151" s="261" t="s">
        <v>104</v>
      </c>
      <c r="C151" s="262"/>
      <c r="D151" s="273" t="s">
        <v>100</v>
      </c>
      <c r="E151" s="262"/>
      <c r="F151" s="261" t="s">
        <v>102</v>
      </c>
      <c r="G151" s="262"/>
      <c r="H151" s="261" t="s">
        <v>101</v>
      </c>
      <c r="I151" s="262"/>
      <c r="J151" s="261" t="s">
        <v>102</v>
      </c>
      <c r="K151" s="262"/>
      <c r="L151" s="261" t="s">
        <v>103</v>
      </c>
      <c r="M151" s="262"/>
      <c r="N151" s="43">
        <f>P150</f>
        <v>985.85808902208896</v>
      </c>
      <c r="O151" s="44"/>
      <c r="P151" s="45"/>
      <c r="Q151" s="45"/>
      <c r="R151" s="45"/>
      <c r="S151" s="45"/>
      <c r="T151" s="45"/>
      <c r="U151" s="46"/>
      <c r="W151" s="43">
        <f>Y151</f>
        <v>875.23727272727274</v>
      </c>
      <c r="X151" s="38" t="s">
        <v>28</v>
      </c>
      <c r="Y151" s="39">
        <f>Y145*68+Y146*73+Y147*24+Y148*60+Y149*112+Y150*45</f>
        <v>875.23727272727274</v>
      </c>
      <c r="Z151" s="40" t="s">
        <v>15</v>
      </c>
      <c r="AA151" s="41"/>
      <c r="AB151" s="41"/>
      <c r="AC151" s="41"/>
      <c r="AD151" s="42"/>
    </row>
    <row r="152" spans="1:30" ht="16.149999999999999" customHeight="1" thickBot="1">
      <c r="A152" s="263">
        <f>A144+1</f>
        <v>43907</v>
      </c>
      <c r="B152" s="266" t="s">
        <v>116</v>
      </c>
      <c r="C152" s="267"/>
      <c r="D152" s="264" t="s">
        <v>174</v>
      </c>
      <c r="E152" s="269"/>
      <c r="F152" s="265" t="s">
        <v>175</v>
      </c>
      <c r="G152" s="269"/>
      <c r="H152" s="265" t="s">
        <v>46</v>
      </c>
      <c r="I152" s="269"/>
      <c r="J152" s="264" t="s">
        <v>176</v>
      </c>
      <c r="K152" s="269"/>
      <c r="L152" s="276" t="s">
        <v>142</v>
      </c>
      <c r="M152" s="277"/>
      <c r="N152" s="5" t="s">
        <v>12</v>
      </c>
      <c r="O152" s="253" t="s">
        <v>29</v>
      </c>
      <c r="P152" s="254"/>
      <c r="Q152" s="255"/>
      <c r="R152" s="256" t="s">
        <v>30</v>
      </c>
      <c r="S152" s="257"/>
      <c r="T152" s="257"/>
      <c r="U152" s="258"/>
      <c r="W152" s="5" t="s">
        <v>12</v>
      </c>
      <c r="X152" s="253" t="s">
        <v>29</v>
      </c>
      <c r="Y152" s="254"/>
      <c r="Z152" s="255"/>
      <c r="AA152" s="256" t="s">
        <v>30</v>
      </c>
      <c r="AB152" s="257"/>
      <c r="AC152" s="257"/>
      <c r="AD152" s="258"/>
    </row>
    <row r="153" spans="1:30" ht="16.149999999999999" customHeight="1">
      <c r="A153" s="259"/>
      <c r="B153" s="108" t="s">
        <v>108</v>
      </c>
      <c r="C153" s="77">
        <v>55</v>
      </c>
      <c r="D153" s="57" t="s">
        <v>61</v>
      </c>
      <c r="E153" s="47">
        <v>15</v>
      </c>
      <c r="F153" s="149" t="s">
        <v>76</v>
      </c>
      <c r="G153" s="128">
        <v>30</v>
      </c>
      <c r="H153" s="110" t="s">
        <v>45</v>
      </c>
      <c r="I153" s="76">
        <v>100</v>
      </c>
      <c r="J153" s="86" t="s">
        <v>53</v>
      </c>
      <c r="K153" s="15">
        <v>20</v>
      </c>
      <c r="L153" s="61" t="s">
        <v>34</v>
      </c>
      <c r="M153" s="15">
        <v>140</v>
      </c>
      <c r="N153" s="16" t="e">
        <f>S154</f>
        <v>#REF!</v>
      </c>
      <c r="O153" s="48" t="s">
        <v>1</v>
      </c>
      <c r="P153" s="29">
        <f>G153/20+M153/20+M154/55</f>
        <v>8.5</v>
      </c>
      <c r="Q153" s="8" t="s">
        <v>13</v>
      </c>
      <c r="R153" s="49" t="s">
        <v>14</v>
      </c>
      <c r="S153" s="50" t="e">
        <f>P159</f>
        <v>#REF!</v>
      </c>
      <c r="T153" s="51" t="s">
        <v>15</v>
      </c>
      <c r="U153" s="52" t="s">
        <v>16</v>
      </c>
      <c r="W153" s="16">
        <f>AB154</f>
        <v>120.00084033613446</v>
      </c>
      <c r="X153" s="48" t="s">
        <v>1</v>
      </c>
      <c r="Y153" s="7">
        <f>E153/90+M153/20+E154/85+E157/70</f>
        <v>7.473389355742297</v>
      </c>
      <c r="Z153" s="8" t="s">
        <v>13</v>
      </c>
      <c r="AA153" s="49" t="s">
        <v>14</v>
      </c>
      <c r="AB153" s="50">
        <f>Y159</f>
        <v>862.42119047619042</v>
      </c>
      <c r="AC153" s="51" t="s">
        <v>15</v>
      </c>
      <c r="AD153" s="52" t="s">
        <v>16</v>
      </c>
    </row>
    <row r="154" spans="1:30" ht="16.149999999999999" customHeight="1">
      <c r="A154" s="259"/>
      <c r="B154" s="152" t="s">
        <v>35</v>
      </c>
      <c r="C154" s="109">
        <v>0</v>
      </c>
      <c r="D154" s="23" t="s">
        <v>74</v>
      </c>
      <c r="E154" s="126">
        <v>20</v>
      </c>
      <c r="F154" s="65" t="s">
        <v>59</v>
      </c>
      <c r="G154" s="128">
        <v>20</v>
      </c>
      <c r="H154" s="65"/>
      <c r="I154" s="64"/>
      <c r="J154" s="106" t="s">
        <v>35</v>
      </c>
      <c r="K154" s="54">
        <v>0.4</v>
      </c>
      <c r="L154" s="104"/>
      <c r="M154" s="128"/>
      <c r="N154" s="25" t="s">
        <v>19</v>
      </c>
      <c r="O154" s="17" t="s">
        <v>2</v>
      </c>
      <c r="P154" s="18" t="e">
        <f>C153/35+G156/35+E156/55+#REF!*0.65/35</f>
        <v>#REF!</v>
      </c>
      <c r="Q154" s="19" t="s">
        <v>13</v>
      </c>
      <c r="R154" s="20" t="s">
        <v>17</v>
      </c>
      <c r="S154" s="21" t="e">
        <f>P153*15+P155*5+P156*15+P157*12</f>
        <v>#REF!</v>
      </c>
      <c r="T154" s="19" t="s">
        <v>18</v>
      </c>
      <c r="U154" s="22" t="e">
        <f>S154*4/S153</f>
        <v>#REF!</v>
      </c>
      <c r="W154" s="25" t="s">
        <v>19</v>
      </c>
      <c r="X154" s="17" t="s">
        <v>2</v>
      </c>
      <c r="Y154" s="18">
        <f>C153/35+K153*0.6/40+G153/35+E156/40</f>
        <v>2.8535714285714286</v>
      </c>
      <c r="Z154" s="19" t="s">
        <v>13</v>
      </c>
      <c r="AA154" s="20" t="s">
        <v>17</v>
      </c>
      <c r="AB154" s="21">
        <f>Y153*15+Y155*5+Y156*15+Y157*12</f>
        <v>120.00084033613446</v>
      </c>
      <c r="AC154" s="19" t="s">
        <v>18</v>
      </c>
      <c r="AD154" s="22">
        <f>AB154*4/AB153</f>
        <v>0.55657649260624198</v>
      </c>
    </row>
    <row r="155" spans="1:30" ht="16.149999999999999" customHeight="1">
      <c r="A155" s="259"/>
      <c r="B155" s="23" t="s">
        <v>117</v>
      </c>
      <c r="C155" s="24">
        <v>3</v>
      </c>
      <c r="D155" s="104" t="s">
        <v>145</v>
      </c>
      <c r="E155" s="126">
        <v>10</v>
      </c>
      <c r="F155" s="104" t="s">
        <v>145</v>
      </c>
      <c r="G155" s="100">
        <v>3</v>
      </c>
      <c r="H155" s="31"/>
      <c r="I155" s="128"/>
      <c r="J155" s="67" t="s">
        <v>72</v>
      </c>
      <c r="K155" s="24">
        <v>10</v>
      </c>
      <c r="L155" s="115"/>
      <c r="M155" s="128"/>
      <c r="N155" s="16" t="e">
        <f>S155</f>
        <v>#REF!</v>
      </c>
      <c r="O155" s="26" t="s">
        <v>20</v>
      </c>
      <c r="P155" s="18" t="e">
        <f>(C154+G154+G155+E153+E154+E155+#REF!+I153+#REF!)/100</f>
        <v>#REF!</v>
      </c>
      <c r="Q155" s="19" t="s">
        <v>13</v>
      </c>
      <c r="R155" s="20" t="s">
        <v>21</v>
      </c>
      <c r="S155" s="21" t="e">
        <f>P154*5+P157*4+P158*5</f>
        <v>#REF!</v>
      </c>
      <c r="T155" s="19" t="s">
        <v>18</v>
      </c>
      <c r="U155" s="22" t="e">
        <f>S155*9/S153</f>
        <v>#REF!</v>
      </c>
      <c r="W155" s="16">
        <f>AB155</f>
        <v>26.267857142857142</v>
      </c>
      <c r="X155" s="26" t="s">
        <v>20</v>
      </c>
      <c r="Y155" s="18">
        <f>(I153+G154+E155+G155+G156+K155+G157+C155+C156+C157)/100</f>
        <v>1.58</v>
      </c>
      <c r="Z155" s="19" t="s">
        <v>13</v>
      </c>
      <c r="AA155" s="20" t="s">
        <v>21</v>
      </c>
      <c r="AB155" s="21">
        <f>Y154*5+Y157*4+Y158*5</f>
        <v>26.267857142857142</v>
      </c>
      <c r="AC155" s="19" t="s">
        <v>18</v>
      </c>
      <c r="AD155" s="22">
        <f>AB155*9/AB153</f>
        <v>0.27412442655215702</v>
      </c>
    </row>
    <row r="156" spans="1:30" ht="16.149999999999999" customHeight="1">
      <c r="A156" s="259"/>
      <c r="B156" s="23" t="s">
        <v>58</v>
      </c>
      <c r="C156" s="24">
        <v>5</v>
      </c>
      <c r="D156" s="23" t="s">
        <v>125</v>
      </c>
      <c r="E156" s="126">
        <v>5</v>
      </c>
      <c r="F156" s="65" t="s">
        <v>49</v>
      </c>
      <c r="G156" s="100">
        <v>1</v>
      </c>
      <c r="H156" s="31"/>
      <c r="I156" s="128"/>
      <c r="J156" s="31"/>
      <c r="K156" s="126"/>
      <c r="L156" s="101"/>
      <c r="M156" s="100"/>
      <c r="N156" s="25" t="s">
        <v>24</v>
      </c>
      <c r="O156" s="84" t="s">
        <v>22</v>
      </c>
      <c r="P156" s="29">
        <v>0</v>
      </c>
      <c r="Q156" s="19" t="s">
        <v>13</v>
      </c>
      <c r="R156" s="20" t="s">
        <v>23</v>
      </c>
      <c r="S156" s="21" t="e">
        <f>P153*2+P154*7+P155*1+P157*8</f>
        <v>#REF!</v>
      </c>
      <c r="T156" s="19" t="s">
        <v>18</v>
      </c>
      <c r="U156" s="22" t="e">
        <f>S156*4/S153</f>
        <v>#REF!</v>
      </c>
      <c r="W156" s="25" t="s">
        <v>24</v>
      </c>
      <c r="X156" s="28" t="s">
        <v>22</v>
      </c>
      <c r="Y156" s="29">
        <v>0</v>
      </c>
      <c r="Z156" s="19" t="s">
        <v>13</v>
      </c>
      <c r="AA156" s="20" t="s">
        <v>23</v>
      </c>
      <c r="AB156" s="21">
        <f>Y153*2+Y154*7+Y155*1+Y157*8</f>
        <v>36.50177871148459</v>
      </c>
      <c r="AC156" s="19" t="s">
        <v>18</v>
      </c>
      <c r="AD156" s="22">
        <f>AB156*4/AB153</f>
        <v>0.16929908084160103</v>
      </c>
    </row>
    <row r="157" spans="1:30" ht="16.149999999999999" customHeight="1">
      <c r="A157" s="259" t="s">
        <v>31</v>
      </c>
      <c r="B157" s="101" t="s">
        <v>54</v>
      </c>
      <c r="C157" s="100">
        <v>1</v>
      </c>
      <c r="D157" s="23" t="s">
        <v>90</v>
      </c>
      <c r="E157" s="24">
        <v>5</v>
      </c>
      <c r="F157" s="104" t="s">
        <v>47</v>
      </c>
      <c r="G157" s="126">
        <v>5</v>
      </c>
      <c r="H157" s="31"/>
      <c r="I157" s="128"/>
      <c r="J157" s="31"/>
      <c r="K157" s="126"/>
      <c r="L157" s="115"/>
      <c r="M157" s="128"/>
      <c r="N157" s="16" t="e">
        <f>S156</f>
        <v>#REF!</v>
      </c>
      <c r="O157" s="28" t="s">
        <v>3</v>
      </c>
      <c r="P157" s="29">
        <v>0</v>
      </c>
      <c r="Q157" s="19" t="s">
        <v>13</v>
      </c>
      <c r="R157" s="32"/>
      <c r="S157" s="32"/>
      <c r="T157" s="32"/>
      <c r="U157" s="33" t="e">
        <f>SUM(U154:U156)</f>
        <v>#REF!</v>
      </c>
      <c r="W157" s="16">
        <f>AB156</f>
        <v>36.50177871148459</v>
      </c>
      <c r="X157" s="28" t="s">
        <v>3</v>
      </c>
      <c r="Y157" s="29">
        <v>0</v>
      </c>
      <c r="Z157" s="19" t="s">
        <v>13</v>
      </c>
      <c r="AA157" s="32"/>
      <c r="AB157" s="32"/>
      <c r="AC157" s="32"/>
      <c r="AD157" s="33">
        <f>SUM(AD154:AD156)</f>
        <v>1</v>
      </c>
    </row>
    <row r="158" spans="1:30" ht="16.149999999999999" customHeight="1">
      <c r="A158" s="259"/>
      <c r="B158" s="101"/>
      <c r="C158" s="100"/>
      <c r="D158" s="12"/>
      <c r="E158" s="126"/>
      <c r="F158" s="23"/>
      <c r="G158" s="24"/>
      <c r="H158" s="31"/>
      <c r="I158" s="128"/>
      <c r="J158" s="53"/>
      <c r="K158" s="87"/>
      <c r="L158" s="115"/>
      <c r="M158" s="128"/>
      <c r="N158" s="25" t="s">
        <v>27</v>
      </c>
      <c r="O158" s="34" t="s">
        <v>26</v>
      </c>
      <c r="P158" s="29">
        <v>2.5</v>
      </c>
      <c r="Q158" s="19" t="s">
        <v>13</v>
      </c>
      <c r="R158" s="35"/>
      <c r="S158" s="35"/>
      <c r="T158" s="35"/>
      <c r="U158" s="36"/>
      <c r="W158" s="25" t="s">
        <v>27</v>
      </c>
      <c r="X158" s="34" t="s">
        <v>26</v>
      </c>
      <c r="Y158" s="29">
        <v>2.4</v>
      </c>
      <c r="Z158" s="19" t="s">
        <v>13</v>
      </c>
      <c r="AA158" s="35"/>
      <c r="AB158" s="35"/>
      <c r="AC158" s="35"/>
      <c r="AD158" s="36"/>
    </row>
    <row r="159" spans="1:30" ht="16.149999999999999" customHeight="1" thickBot="1">
      <c r="A159" s="260"/>
      <c r="B159" s="261" t="s">
        <v>100</v>
      </c>
      <c r="C159" s="262"/>
      <c r="D159" s="261" t="s">
        <v>102</v>
      </c>
      <c r="E159" s="262"/>
      <c r="F159" s="261" t="s">
        <v>208</v>
      </c>
      <c r="G159" s="262"/>
      <c r="H159" s="261" t="s">
        <v>101</v>
      </c>
      <c r="I159" s="262"/>
      <c r="J159" s="261" t="s">
        <v>102</v>
      </c>
      <c r="K159" s="262"/>
      <c r="L159" s="261" t="s">
        <v>103</v>
      </c>
      <c r="M159" s="262"/>
      <c r="N159" s="43" t="e">
        <f>P159</f>
        <v>#REF!</v>
      </c>
      <c r="O159" s="38" t="s">
        <v>28</v>
      </c>
      <c r="P159" s="39" t="e">
        <f>P153*68+P154*73+P155*24+P156*60+P157*112+P158*45</f>
        <v>#REF!</v>
      </c>
      <c r="Q159" s="40" t="s">
        <v>15</v>
      </c>
      <c r="R159" s="41"/>
      <c r="S159" s="41"/>
      <c r="T159" s="41"/>
      <c r="U159" s="42"/>
      <c r="W159" s="43">
        <f>Y159</f>
        <v>862.42119047619042</v>
      </c>
      <c r="X159" s="38" t="s">
        <v>28</v>
      </c>
      <c r="Y159" s="39">
        <f>Y153*68+Y154*73+Y155*24+Y156*60+Y157*112+Y158*45</f>
        <v>862.42119047619042</v>
      </c>
      <c r="Z159" s="40" t="s">
        <v>15</v>
      </c>
      <c r="AA159" s="41"/>
      <c r="AB159" s="41"/>
      <c r="AC159" s="41"/>
      <c r="AD159" s="42"/>
    </row>
    <row r="160" spans="1:30" ht="16.149999999999999" customHeight="1" thickBot="1">
      <c r="A160" s="263">
        <f>A152+1</f>
        <v>43908</v>
      </c>
      <c r="B160" s="264" t="s">
        <v>185</v>
      </c>
      <c r="C160" s="269"/>
      <c r="D160" s="266" t="s">
        <v>240</v>
      </c>
      <c r="E160" s="267"/>
      <c r="F160" s="264" t="s">
        <v>177</v>
      </c>
      <c r="G160" s="269"/>
      <c r="H160" s="268" t="s">
        <v>48</v>
      </c>
      <c r="I160" s="267"/>
      <c r="J160" s="268" t="s">
        <v>178</v>
      </c>
      <c r="K160" s="267"/>
      <c r="L160" s="286" t="s">
        <v>142</v>
      </c>
      <c r="M160" s="286"/>
      <c r="N160" s="5" t="s">
        <v>12</v>
      </c>
      <c r="O160" s="253" t="s">
        <v>29</v>
      </c>
      <c r="P160" s="254"/>
      <c r="Q160" s="255"/>
      <c r="R160" s="256" t="s">
        <v>30</v>
      </c>
      <c r="S160" s="257"/>
      <c r="T160" s="257"/>
      <c r="U160" s="258"/>
      <c r="W160" s="5" t="s">
        <v>12</v>
      </c>
      <c r="X160" s="253" t="s">
        <v>29</v>
      </c>
      <c r="Y160" s="254"/>
      <c r="Z160" s="255"/>
      <c r="AA160" s="256" t="s">
        <v>30</v>
      </c>
      <c r="AB160" s="257"/>
      <c r="AC160" s="257"/>
      <c r="AD160" s="258"/>
    </row>
    <row r="161" spans="1:30" ht="16.149999999999999" customHeight="1">
      <c r="A161" s="259"/>
      <c r="B161" s="104" t="s">
        <v>242</v>
      </c>
      <c r="C161" s="126">
        <v>75</v>
      </c>
      <c r="D161" s="14" t="s">
        <v>51</v>
      </c>
      <c r="E161" s="47">
        <v>60</v>
      </c>
      <c r="F161" s="61" t="s">
        <v>241</v>
      </c>
      <c r="G161" s="15">
        <v>40</v>
      </c>
      <c r="H161" s="110" t="s">
        <v>63</v>
      </c>
      <c r="I161" s="76">
        <v>100</v>
      </c>
      <c r="J161" s="61" t="s">
        <v>135</v>
      </c>
      <c r="K161" s="15">
        <v>35</v>
      </c>
      <c r="L161" s="159" t="s">
        <v>34</v>
      </c>
      <c r="M161" s="138">
        <v>140</v>
      </c>
      <c r="N161" s="16" t="e">
        <f>S162</f>
        <v>#REF!</v>
      </c>
      <c r="O161" s="48" t="s">
        <v>1</v>
      </c>
      <c r="P161" s="29">
        <f>K163/35+M161/20</f>
        <v>7.1428571428571432</v>
      </c>
      <c r="Q161" s="8" t="s">
        <v>13</v>
      </c>
      <c r="R161" s="49" t="s">
        <v>14</v>
      </c>
      <c r="S161" s="50" t="e">
        <f>P167</f>
        <v>#REF!</v>
      </c>
      <c r="T161" s="51" t="s">
        <v>15</v>
      </c>
      <c r="U161" s="58"/>
      <c r="W161" s="16">
        <f>AB162</f>
        <v>125.52678571428572</v>
      </c>
      <c r="X161" s="48" t="s">
        <v>1</v>
      </c>
      <c r="Y161" s="7">
        <f>M161/20+K161/80+G162/70</f>
        <v>7.6517857142857144</v>
      </c>
      <c r="Z161" s="8" t="s">
        <v>13</v>
      </c>
      <c r="AA161" s="49" t="s">
        <v>14</v>
      </c>
      <c r="AB161" s="50">
        <f>Y167</f>
        <v>896.89588744588741</v>
      </c>
      <c r="AC161" s="51" t="s">
        <v>15</v>
      </c>
      <c r="AD161" s="58"/>
    </row>
    <row r="162" spans="1:30" ht="16.149999999999999" customHeight="1">
      <c r="A162" s="259"/>
      <c r="B162" s="106" t="s">
        <v>278</v>
      </c>
      <c r="C162" s="107">
        <v>0.18</v>
      </c>
      <c r="D162" s="12" t="s">
        <v>223</v>
      </c>
      <c r="E162" s="126">
        <v>20</v>
      </c>
      <c r="F162" s="104" t="s">
        <v>243</v>
      </c>
      <c r="G162" s="128">
        <v>15</v>
      </c>
      <c r="H162" s="115"/>
      <c r="I162" s="54"/>
      <c r="J162" s="104" t="s">
        <v>276</v>
      </c>
      <c r="K162" s="128">
        <v>5</v>
      </c>
      <c r="L162" s="85"/>
      <c r="M162" s="88"/>
      <c r="N162" s="25" t="s">
        <v>19</v>
      </c>
      <c r="O162" s="17" t="s">
        <v>2</v>
      </c>
      <c r="P162" s="18">
        <f>C161*0.68/40+G178/35+G179/35+E170/15+K164/60</f>
        <v>2.8464285714285715</v>
      </c>
      <c r="Q162" s="19" t="s">
        <v>13</v>
      </c>
      <c r="R162" s="20" t="s">
        <v>17</v>
      </c>
      <c r="S162" s="21" t="e">
        <f>P161*15+P163*5+P164*15+P165*12</f>
        <v>#REF!</v>
      </c>
      <c r="T162" s="19" t="s">
        <v>18</v>
      </c>
      <c r="U162" s="22" t="e">
        <f>S162*4/S161</f>
        <v>#REF!</v>
      </c>
      <c r="W162" s="25" t="s">
        <v>19</v>
      </c>
      <c r="X162" s="17" t="s">
        <v>2</v>
      </c>
      <c r="Y162" s="18">
        <f>C161*0.82/35+E161/55</f>
        <v>2.8480519480519479</v>
      </c>
      <c r="Z162" s="19" t="s">
        <v>13</v>
      </c>
      <c r="AA162" s="20" t="s">
        <v>17</v>
      </c>
      <c r="AB162" s="21">
        <f>Y161*15+Y163*5+Y164*15+Y165*12</f>
        <v>125.52678571428572</v>
      </c>
      <c r="AC162" s="19" t="s">
        <v>18</v>
      </c>
      <c r="AD162" s="22">
        <f>AB162*4/AB161</f>
        <v>0.55982767887029317</v>
      </c>
    </row>
    <row r="163" spans="1:30" ht="16.149999999999999" customHeight="1">
      <c r="A163" s="259"/>
      <c r="B163" s="23"/>
      <c r="C163" s="24"/>
      <c r="D163" s="104" t="s">
        <v>145</v>
      </c>
      <c r="E163" s="126">
        <v>5</v>
      </c>
      <c r="F163" s="104" t="s">
        <v>110</v>
      </c>
      <c r="G163" s="128">
        <v>5</v>
      </c>
      <c r="H163" s="115"/>
      <c r="I163" s="128"/>
      <c r="J163" s="104" t="s">
        <v>277</v>
      </c>
      <c r="K163" s="128">
        <v>5</v>
      </c>
      <c r="L163" s="85"/>
      <c r="M163" s="88"/>
      <c r="N163" s="16">
        <f>S163</f>
        <v>26.732142857142858</v>
      </c>
      <c r="O163" s="26" t="s">
        <v>20</v>
      </c>
      <c r="P163" s="18" t="e">
        <f>(G177+E169+#REF!+I161+K161+K162)/100</f>
        <v>#REF!</v>
      </c>
      <c r="Q163" s="19" t="s">
        <v>13</v>
      </c>
      <c r="R163" s="20" t="s">
        <v>21</v>
      </c>
      <c r="S163" s="21">
        <f>P162*5+P165*4+P166*5</f>
        <v>26.732142857142858</v>
      </c>
      <c r="T163" s="19" t="s">
        <v>18</v>
      </c>
      <c r="U163" s="22" t="e">
        <f>S163*9/S161</f>
        <v>#REF!</v>
      </c>
      <c r="W163" s="16">
        <f>AB163</f>
        <v>26.906926406926406</v>
      </c>
      <c r="X163" s="26" t="s">
        <v>20</v>
      </c>
      <c r="Y163" s="18">
        <f>(E163++E162+G161+G163+I161+E164)/100</f>
        <v>1.75</v>
      </c>
      <c r="Z163" s="19" t="s">
        <v>13</v>
      </c>
      <c r="AA163" s="20" t="s">
        <v>21</v>
      </c>
      <c r="AB163" s="21">
        <f>Y162*5+Y165*4+Y166*5</f>
        <v>26.906926406926406</v>
      </c>
      <c r="AC163" s="19" t="s">
        <v>18</v>
      </c>
      <c r="AD163" s="22">
        <f>AB163*9/AB161</f>
        <v>0.27000049955848199</v>
      </c>
    </row>
    <row r="164" spans="1:30" ht="16.149999999999999" customHeight="1">
      <c r="A164" s="259"/>
      <c r="B164" s="104"/>
      <c r="C164" s="128"/>
      <c r="D164" s="23" t="s">
        <v>54</v>
      </c>
      <c r="E164" s="66">
        <v>5</v>
      </c>
      <c r="F164" s="104"/>
      <c r="G164" s="128"/>
      <c r="H164" s="115"/>
      <c r="I164" s="128"/>
      <c r="J164" s="104"/>
      <c r="K164" s="126"/>
      <c r="L164" s="99"/>
      <c r="M164" s="100"/>
      <c r="N164" s="25" t="s">
        <v>24</v>
      </c>
      <c r="O164" s="84" t="s">
        <v>22</v>
      </c>
      <c r="P164" s="29">
        <v>0</v>
      </c>
      <c r="Q164" s="19" t="s">
        <v>13</v>
      </c>
      <c r="R164" s="20" t="s">
        <v>23</v>
      </c>
      <c r="S164" s="21" t="e">
        <f>P161*2+P162*7+P163*1+P165*8</f>
        <v>#REF!</v>
      </c>
      <c r="T164" s="19" t="s">
        <v>18</v>
      </c>
      <c r="U164" s="22" t="e">
        <f>S164*4/S161</f>
        <v>#REF!</v>
      </c>
      <c r="W164" s="25" t="s">
        <v>24</v>
      </c>
      <c r="X164" s="28" t="s">
        <v>22</v>
      </c>
      <c r="Y164" s="29">
        <v>0</v>
      </c>
      <c r="Z164" s="19" t="s">
        <v>13</v>
      </c>
      <c r="AA164" s="20" t="s">
        <v>23</v>
      </c>
      <c r="AB164" s="21">
        <f>Y161*2+Y162*7+Y163*1+Y165*8</f>
        <v>38.323268398268404</v>
      </c>
      <c r="AC164" s="19" t="s">
        <v>18</v>
      </c>
      <c r="AD164" s="22">
        <f>AB164*4/AB161</f>
        <v>0.17091512597923722</v>
      </c>
    </row>
    <row r="165" spans="1:30" ht="16.149999999999999" customHeight="1">
      <c r="A165" s="259" t="s">
        <v>32</v>
      </c>
      <c r="B165" s="81"/>
      <c r="C165" s="77"/>
      <c r="F165" s="101"/>
      <c r="G165" s="100"/>
      <c r="H165" s="115"/>
      <c r="I165" s="128"/>
      <c r="J165" s="115"/>
      <c r="K165" s="126"/>
      <c r="L165" s="85"/>
      <c r="M165" s="88"/>
      <c r="N165" s="16" t="e">
        <f>S164</f>
        <v>#REF!</v>
      </c>
      <c r="O165" s="28" t="s">
        <v>3</v>
      </c>
      <c r="P165" s="29">
        <v>0</v>
      </c>
      <c r="Q165" s="19" t="s">
        <v>13</v>
      </c>
      <c r="R165" s="32"/>
      <c r="S165" s="32"/>
      <c r="T165" s="32"/>
      <c r="U165" s="33" t="e">
        <f>SUM(U162:U164)</f>
        <v>#REF!</v>
      </c>
      <c r="W165" s="16">
        <f>AB164</f>
        <v>38.323268398268404</v>
      </c>
      <c r="X165" s="28" t="s">
        <v>3</v>
      </c>
      <c r="Y165" s="29">
        <f>K162/30</f>
        <v>0.16666666666666666</v>
      </c>
      <c r="Z165" s="19" t="s">
        <v>13</v>
      </c>
      <c r="AA165" s="32"/>
      <c r="AB165" s="32"/>
      <c r="AC165" s="32"/>
      <c r="AD165" s="33">
        <f>SUM(AD162:AD164)</f>
        <v>1.0007433044080123</v>
      </c>
    </row>
    <row r="166" spans="1:30" ht="16.149999999999999" customHeight="1">
      <c r="A166" s="259"/>
      <c r="B166" s="115"/>
      <c r="C166" s="128"/>
      <c r="D166" s="101"/>
      <c r="E166" s="119"/>
      <c r="F166" s="12"/>
      <c r="G166" s="126"/>
      <c r="H166" s="12"/>
      <c r="I166" s="27"/>
      <c r="J166" s="115"/>
      <c r="K166" s="128"/>
      <c r="L166" s="73"/>
      <c r="M166" s="71"/>
      <c r="N166" s="25" t="s">
        <v>27</v>
      </c>
      <c r="O166" s="34" t="s">
        <v>26</v>
      </c>
      <c r="P166" s="29">
        <v>2.5</v>
      </c>
      <c r="Q166" s="19" t="s">
        <v>13</v>
      </c>
      <c r="R166" s="35"/>
      <c r="S166" s="35"/>
      <c r="T166" s="35"/>
      <c r="U166" s="36"/>
      <c r="W166" s="25" t="s">
        <v>27</v>
      </c>
      <c r="X166" s="34" t="s">
        <v>26</v>
      </c>
      <c r="Y166" s="29">
        <v>2.4</v>
      </c>
      <c r="Z166" s="19" t="s">
        <v>13</v>
      </c>
      <c r="AA166" s="35"/>
      <c r="AB166" s="35"/>
      <c r="AC166" s="35"/>
      <c r="AD166" s="36"/>
    </row>
    <row r="167" spans="1:30" ht="16.149999999999999" customHeight="1" thickBot="1">
      <c r="A167" s="260"/>
      <c r="B167" s="261" t="s">
        <v>114</v>
      </c>
      <c r="C167" s="262"/>
      <c r="D167" s="261" t="s">
        <v>99</v>
      </c>
      <c r="E167" s="273"/>
      <c r="F167" s="261" t="s">
        <v>99</v>
      </c>
      <c r="G167" s="262"/>
      <c r="H167" s="261" t="s">
        <v>101</v>
      </c>
      <c r="I167" s="262"/>
      <c r="J167" s="261" t="s">
        <v>102</v>
      </c>
      <c r="K167" s="262"/>
      <c r="L167" s="261" t="s">
        <v>103</v>
      </c>
      <c r="M167" s="262"/>
      <c r="N167" s="43" t="e">
        <f>P167</f>
        <v>#REF!</v>
      </c>
      <c r="O167" s="38" t="s">
        <v>28</v>
      </c>
      <c r="P167" s="39" t="e">
        <f>P161*68+P162*73+P163*24+P164*60+P165*112+P166*45</f>
        <v>#REF!</v>
      </c>
      <c r="Q167" s="40" t="s">
        <v>15</v>
      </c>
      <c r="R167" s="41"/>
      <c r="S167" s="41"/>
      <c r="T167" s="41"/>
      <c r="U167" s="42"/>
      <c r="W167" s="43">
        <f>Y167</f>
        <v>896.89588744588741</v>
      </c>
      <c r="X167" s="38" t="s">
        <v>28</v>
      </c>
      <c r="Y167" s="39">
        <f>Y161*68+Y162*73+Y163*24+Y164*60+Y165*112+Y166*45</f>
        <v>896.89588744588741</v>
      </c>
      <c r="Z167" s="40" t="s">
        <v>15</v>
      </c>
      <c r="AA167" s="41"/>
      <c r="AB167" s="41"/>
      <c r="AC167" s="41"/>
      <c r="AD167" s="42"/>
    </row>
    <row r="168" spans="1:30" ht="16.149999999999999" customHeight="1" thickBot="1">
      <c r="A168" s="263">
        <f>A160+1</f>
        <v>43909</v>
      </c>
      <c r="B168" s="268" t="s">
        <v>186</v>
      </c>
      <c r="C168" s="270"/>
      <c r="D168" s="264" t="s">
        <v>179</v>
      </c>
      <c r="E168" s="269"/>
      <c r="F168" s="264" t="s">
        <v>180</v>
      </c>
      <c r="G168" s="269"/>
      <c r="H168" s="264" t="s">
        <v>33</v>
      </c>
      <c r="I168" s="269"/>
      <c r="J168" s="268" t="s">
        <v>105</v>
      </c>
      <c r="K168" s="278"/>
      <c r="L168" s="276" t="s">
        <v>142</v>
      </c>
      <c r="M168" s="277"/>
      <c r="N168" s="5" t="s">
        <v>12</v>
      </c>
      <c r="O168" s="253" t="s">
        <v>29</v>
      </c>
      <c r="P168" s="254"/>
      <c r="Q168" s="255"/>
      <c r="R168" s="256" t="s">
        <v>30</v>
      </c>
      <c r="S168" s="257"/>
      <c r="T168" s="257"/>
      <c r="U168" s="258"/>
      <c r="W168" s="5" t="s">
        <v>12</v>
      </c>
      <c r="X168" s="253" t="s">
        <v>29</v>
      </c>
      <c r="Y168" s="254"/>
      <c r="Z168" s="255"/>
      <c r="AA168" s="256" t="s">
        <v>30</v>
      </c>
      <c r="AB168" s="257"/>
      <c r="AC168" s="257"/>
      <c r="AD168" s="258"/>
    </row>
    <row r="169" spans="1:30" ht="16.149999999999999" customHeight="1">
      <c r="A169" s="259"/>
      <c r="B169" s="104" t="s">
        <v>132</v>
      </c>
      <c r="C169" s="126">
        <v>100</v>
      </c>
      <c r="D169" s="57" t="s">
        <v>126</v>
      </c>
      <c r="E169" s="69">
        <v>50</v>
      </c>
      <c r="F169" s="61" t="s">
        <v>66</v>
      </c>
      <c r="G169" s="15">
        <v>40</v>
      </c>
      <c r="H169" s="93" t="s">
        <v>57</v>
      </c>
      <c r="I169" s="13">
        <v>100</v>
      </c>
      <c r="J169" s="61" t="s">
        <v>91</v>
      </c>
      <c r="K169" s="70">
        <v>9</v>
      </c>
      <c r="L169" s="61" t="s">
        <v>34</v>
      </c>
      <c r="M169" s="15">
        <v>150</v>
      </c>
      <c r="N169" s="16" t="e">
        <f>S170</f>
        <v>#REF!</v>
      </c>
      <c r="O169" s="48" t="s">
        <v>1</v>
      </c>
      <c r="P169" s="29">
        <f>G164/35+M169/20</f>
        <v>7.5</v>
      </c>
      <c r="Q169" s="8" t="s">
        <v>13</v>
      </c>
      <c r="R169" s="49" t="s">
        <v>14</v>
      </c>
      <c r="S169" s="50" t="e">
        <f>P175</f>
        <v>#REF!</v>
      </c>
      <c r="T169" s="51" t="s">
        <v>15</v>
      </c>
      <c r="U169" s="52" t="s">
        <v>16</v>
      </c>
      <c r="W169" s="16">
        <f>AB170</f>
        <v>120.55</v>
      </c>
      <c r="X169" s="48" t="s">
        <v>1</v>
      </c>
      <c r="Y169" s="7">
        <f>M169/20</f>
        <v>7.5</v>
      </c>
      <c r="Z169" s="8" t="s">
        <v>13</v>
      </c>
      <c r="AA169" s="49" t="s">
        <v>14</v>
      </c>
      <c r="AB169" s="50">
        <f>Y175</f>
        <v>863.9078571428571</v>
      </c>
      <c r="AC169" s="51" t="s">
        <v>15</v>
      </c>
      <c r="AD169" s="52" t="s">
        <v>16</v>
      </c>
    </row>
    <row r="170" spans="1:30" ht="16.149999999999999" customHeight="1">
      <c r="A170" s="259"/>
      <c r="B170" s="55" t="s">
        <v>35</v>
      </c>
      <c r="C170" s="56">
        <v>0.4</v>
      </c>
      <c r="D170" s="23" t="s">
        <v>76</v>
      </c>
      <c r="E170" s="24">
        <v>15</v>
      </c>
      <c r="F170" s="104" t="s">
        <v>69</v>
      </c>
      <c r="G170" s="128">
        <v>10</v>
      </c>
      <c r="H170" s="68"/>
      <c r="I170" s="63"/>
      <c r="J170" s="67" t="s">
        <v>87</v>
      </c>
      <c r="K170" s="66">
        <v>1</v>
      </c>
      <c r="L170" s="104"/>
      <c r="M170" s="128"/>
      <c r="N170" s="25" t="s">
        <v>19</v>
      </c>
      <c r="O170" s="17" t="s">
        <v>2</v>
      </c>
      <c r="P170" s="18" t="e">
        <f>C169/35+#REF!/80+#REF!/35</f>
        <v>#REF!</v>
      </c>
      <c r="Q170" s="19" t="s">
        <v>13</v>
      </c>
      <c r="R170" s="20" t="s">
        <v>17</v>
      </c>
      <c r="S170" s="21" t="e">
        <f>P169*15+P171*5+P172*15+P173*12</f>
        <v>#REF!</v>
      </c>
      <c r="T170" s="19" t="s">
        <v>18</v>
      </c>
      <c r="U170" s="22" t="e">
        <f>S170*4/S169</f>
        <v>#REF!</v>
      </c>
      <c r="W170" s="25" t="s">
        <v>19</v>
      </c>
      <c r="X170" s="17" t="s">
        <v>2</v>
      </c>
      <c r="Y170" s="18">
        <f>C169*0.6/40+E170/35+E169/80+G170/35</f>
        <v>2.8392857142857144</v>
      </c>
      <c r="Z170" s="19" t="s">
        <v>13</v>
      </c>
      <c r="AA170" s="20" t="s">
        <v>17</v>
      </c>
      <c r="AB170" s="21">
        <f>Y169*15+Y171*5+Y172*15+Y173*12</f>
        <v>120.55</v>
      </c>
      <c r="AC170" s="19" t="s">
        <v>18</v>
      </c>
      <c r="AD170" s="22">
        <f>AB170*4/AB169</f>
        <v>0.55816137799087373</v>
      </c>
    </row>
    <row r="171" spans="1:30" ht="16.149999999999999" customHeight="1">
      <c r="A171" s="259"/>
      <c r="B171" s="23" t="s">
        <v>245</v>
      </c>
      <c r="C171" s="24">
        <v>1</v>
      </c>
      <c r="D171" s="23" t="s">
        <v>54</v>
      </c>
      <c r="E171" s="64">
        <v>2</v>
      </c>
      <c r="F171" s="104" t="s">
        <v>54</v>
      </c>
      <c r="G171" s="128">
        <v>5</v>
      </c>
      <c r="H171" s="37"/>
      <c r="I171" s="126"/>
      <c r="J171" s="65"/>
      <c r="K171" s="66"/>
      <c r="L171" s="115"/>
      <c r="M171" s="128"/>
      <c r="N171" s="16" t="e">
        <f>S171</f>
        <v>#REF!</v>
      </c>
      <c r="O171" s="26" t="s">
        <v>20</v>
      </c>
      <c r="P171" s="18" t="e">
        <f>(G161+G162+G163+E172+I169+K153+#REF!+K155)/100</f>
        <v>#REF!</v>
      </c>
      <c r="Q171" s="19" t="s">
        <v>13</v>
      </c>
      <c r="R171" s="20" t="s">
        <v>21</v>
      </c>
      <c r="S171" s="21" t="e">
        <f>P170*5+P173*4+P174*5</f>
        <v>#REF!</v>
      </c>
      <c r="T171" s="19" t="s">
        <v>18</v>
      </c>
      <c r="U171" s="22" t="e">
        <f>S171*9/S169</f>
        <v>#REF!</v>
      </c>
      <c r="W171" s="16">
        <f>AB171</f>
        <v>26.196428571428573</v>
      </c>
      <c r="X171" s="26" t="s">
        <v>20</v>
      </c>
      <c r="Y171" s="18">
        <f>(G169+G171+I169+K169+E171+G172+E172+K170)/100</f>
        <v>1.61</v>
      </c>
      <c r="Z171" s="19" t="s">
        <v>13</v>
      </c>
      <c r="AA171" s="20" t="s">
        <v>21</v>
      </c>
      <c r="AB171" s="21">
        <f>Y170*5+Y173*4+Y174*5</f>
        <v>26.196428571428573</v>
      </c>
      <c r="AC171" s="19" t="s">
        <v>18</v>
      </c>
      <c r="AD171" s="22">
        <f>AB171*9/AB169</f>
        <v>0.27290856911823436</v>
      </c>
    </row>
    <row r="172" spans="1:30" ht="16.149999999999999" customHeight="1">
      <c r="A172" s="259"/>
      <c r="B172" s="23"/>
      <c r="C172" s="24"/>
      <c r="D172" s="23" t="s">
        <v>82</v>
      </c>
      <c r="E172" s="126">
        <v>1</v>
      </c>
      <c r="F172" s="104" t="s">
        <v>49</v>
      </c>
      <c r="G172" s="128">
        <v>3</v>
      </c>
      <c r="H172" s="105"/>
      <c r="I172" s="94"/>
      <c r="J172" s="65"/>
      <c r="K172" s="66"/>
      <c r="L172" s="101"/>
      <c r="M172" s="100"/>
      <c r="N172" s="25" t="s">
        <v>24</v>
      </c>
      <c r="O172" s="84" t="s">
        <v>22</v>
      </c>
      <c r="P172" s="29">
        <v>0</v>
      </c>
      <c r="Q172" s="19" t="s">
        <v>13</v>
      </c>
      <c r="R172" s="20" t="s">
        <v>23</v>
      </c>
      <c r="S172" s="21" t="e">
        <f>P169*2+P170*7+P171*1+P173*8</f>
        <v>#REF!</v>
      </c>
      <c r="T172" s="19" t="s">
        <v>18</v>
      </c>
      <c r="U172" s="22" t="e">
        <f>S172*4/S169</f>
        <v>#REF!</v>
      </c>
      <c r="W172" s="25" t="s">
        <v>24</v>
      </c>
      <c r="X172" s="28" t="s">
        <v>22</v>
      </c>
      <c r="Y172" s="29">
        <v>0</v>
      </c>
      <c r="Z172" s="19" t="s">
        <v>13</v>
      </c>
      <c r="AA172" s="20" t="s">
        <v>23</v>
      </c>
      <c r="AB172" s="21">
        <f>Y169*2+Y170*7+Y171*1+Y173*8</f>
        <v>36.484999999999999</v>
      </c>
      <c r="AC172" s="19" t="s">
        <v>18</v>
      </c>
      <c r="AD172" s="22">
        <f>AB172*4/AB169</f>
        <v>0.16893005289089197</v>
      </c>
    </row>
    <row r="173" spans="1:30" ht="16.149999999999999" customHeight="1">
      <c r="A173" s="259" t="s">
        <v>36</v>
      </c>
      <c r="B173" s="101"/>
      <c r="C173" s="100"/>
      <c r="D173" s="134"/>
      <c r="E173" s="160"/>
      <c r="F173" s="101"/>
      <c r="G173" s="100"/>
      <c r="H173" s="99"/>
      <c r="I173" s="137"/>
      <c r="J173" s="104"/>
      <c r="K173" s="66"/>
      <c r="L173" s="115"/>
      <c r="M173" s="128"/>
      <c r="N173" s="16" t="e">
        <f>S172</f>
        <v>#REF!</v>
      </c>
      <c r="O173" s="28" t="s">
        <v>3</v>
      </c>
      <c r="P173" s="29">
        <v>0</v>
      </c>
      <c r="Q173" s="19" t="s">
        <v>13</v>
      </c>
      <c r="R173" s="32"/>
      <c r="S173" s="32"/>
      <c r="T173" s="32"/>
      <c r="U173" s="33" t="e">
        <f>SUM(U170:U172)</f>
        <v>#REF!</v>
      </c>
      <c r="W173" s="16">
        <f>AB172</f>
        <v>36.484999999999999</v>
      </c>
      <c r="X173" s="28" t="s">
        <v>3</v>
      </c>
      <c r="Y173" s="29">
        <v>0</v>
      </c>
      <c r="Z173" s="19" t="s">
        <v>13</v>
      </c>
      <c r="AA173" s="32"/>
      <c r="AB173" s="32"/>
      <c r="AC173" s="32"/>
      <c r="AD173" s="33">
        <f>SUM(AD170:AD172)</f>
        <v>1</v>
      </c>
    </row>
    <row r="174" spans="1:30" ht="16.149999999999999" customHeight="1">
      <c r="A174" s="259"/>
      <c r="B174" s="101"/>
      <c r="C174" s="100"/>
      <c r="D174" s="95"/>
      <c r="E174" s="120"/>
      <c r="F174" s="12"/>
      <c r="G174" s="126"/>
      <c r="H174" s="99"/>
      <c r="I174" s="137"/>
      <c r="J174" s="115"/>
      <c r="K174" s="128"/>
      <c r="L174" s="115"/>
      <c r="M174" s="128"/>
      <c r="N174" s="25" t="s">
        <v>27</v>
      </c>
      <c r="O174" s="34" t="s">
        <v>26</v>
      </c>
      <c r="P174" s="29">
        <v>2.5</v>
      </c>
      <c r="Q174" s="19" t="s">
        <v>13</v>
      </c>
      <c r="R174" s="35"/>
      <c r="S174" s="35"/>
      <c r="T174" s="35"/>
      <c r="U174" s="36"/>
      <c r="W174" s="25" t="s">
        <v>27</v>
      </c>
      <c r="X174" s="34" t="s">
        <v>26</v>
      </c>
      <c r="Y174" s="29">
        <v>2.4</v>
      </c>
      <c r="Z174" s="19" t="s">
        <v>13</v>
      </c>
      <c r="AA174" s="35"/>
      <c r="AB174" s="35"/>
      <c r="AC174" s="35"/>
      <c r="AD174" s="36"/>
    </row>
    <row r="175" spans="1:30" ht="16.149999999999999" customHeight="1" thickBot="1">
      <c r="A175" s="260"/>
      <c r="B175" s="261" t="s">
        <v>120</v>
      </c>
      <c r="C175" s="262"/>
      <c r="D175" s="261" t="s">
        <v>102</v>
      </c>
      <c r="E175" s="262"/>
      <c r="F175" s="261" t="s">
        <v>99</v>
      </c>
      <c r="G175" s="262"/>
      <c r="H175" s="273" t="s">
        <v>101</v>
      </c>
      <c r="I175" s="262"/>
      <c r="J175" s="261" t="s">
        <v>102</v>
      </c>
      <c r="K175" s="262"/>
      <c r="L175" s="261" t="s">
        <v>103</v>
      </c>
      <c r="M175" s="262"/>
      <c r="N175" s="43" t="e">
        <f>P175</f>
        <v>#REF!</v>
      </c>
      <c r="O175" s="38" t="s">
        <v>28</v>
      </c>
      <c r="P175" s="39" t="e">
        <f>P169*68+P170*73+P171*24+P172*60+P173*112+P174*45</f>
        <v>#REF!</v>
      </c>
      <c r="Q175" s="40" t="s">
        <v>15</v>
      </c>
      <c r="R175" s="41"/>
      <c r="S175" s="41"/>
      <c r="T175" s="41"/>
      <c r="U175" s="42"/>
      <c r="W175" s="43">
        <f>Y175</f>
        <v>863.9078571428571</v>
      </c>
      <c r="X175" s="38" t="s">
        <v>28</v>
      </c>
      <c r="Y175" s="39">
        <f>Y169*68+Y170*73+Y171*24+Y172*60+Y173*112+Y174*45</f>
        <v>863.9078571428571</v>
      </c>
      <c r="Z175" s="40" t="s">
        <v>15</v>
      </c>
      <c r="AA175" s="41"/>
      <c r="AB175" s="41"/>
      <c r="AC175" s="41"/>
      <c r="AD175" s="42"/>
    </row>
    <row r="176" spans="1:30" ht="16.149999999999999" customHeight="1" thickBot="1">
      <c r="A176" s="263">
        <f>A168+1</f>
        <v>43910</v>
      </c>
      <c r="B176" s="268" t="s">
        <v>181</v>
      </c>
      <c r="C176" s="267"/>
      <c r="D176" s="264" t="s">
        <v>182</v>
      </c>
      <c r="E176" s="269"/>
      <c r="F176" s="268" t="s">
        <v>183</v>
      </c>
      <c r="G176" s="267"/>
      <c r="H176" s="264" t="s">
        <v>37</v>
      </c>
      <c r="I176" s="269"/>
      <c r="J176" s="264" t="s">
        <v>184</v>
      </c>
      <c r="K176" s="269"/>
      <c r="L176" s="276" t="s">
        <v>142</v>
      </c>
      <c r="M176" s="277"/>
      <c r="N176" s="5" t="s">
        <v>12</v>
      </c>
      <c r="O176" s="253" t="s">
        <v>29</v>
      </c>
      <c r="P176" s="254"/>
      <c r="Q176" s="255"/>
      <c r="R176" s="256" t="s">
        <v>30</v>
      </c>
      <c r="S176" s="257"/>
      <c r="T176" s="257"/>
      <c r="U176" s="258"/>
      <c r="W176" s="5" t="s">
        <v>12</v>
      </c>
      <c r="X176" s="253" t="s">
        <v>29</v>
      </c>
      <c r="Y176" s="254"/>
      <c r="Z176" s="255"/>
      <c r="AA176" s="256" t="s">
        <v>30</v>
      </c>
      <c r="AB176" s="257"/>
      <c r="AC176" s="257"/>
      <c r="AD176" s="258"/>
    </row>
    <row r="177" spans="1:30" ht="16.149999999999999" customHeight="1">
      <c r="A177" s="259"/>
      <c r="B177" s="108" t="s">
        <v>246</v>
      </c>
      <c r="C177" s="77">
        <v>70</v>
      </c>
      <c r="D177" s="108" t="s">
        <v>98</v>
      </c>
      <c r="E177" s="76">
        <v>35</v>
      </c>
      <c r="F177" s="108" t="s">
        <v>74</v>
      </c>
      <c r="G177" s="161">
        <v>25</v>
      </c>
      <c r="H177" s="57" t="s">
        <v>113</v>
      </c>
      <c r="I177" s="47">
        <v>100</v>
      </c>
      <c r="J177" s="97" t="s">
        <v>146</v>
      </c>
      <c r="K177" s="98">
        <v>20</v>
      </c>
      <c r="L177" s="61" t="s">
        <v>34</v>
      </c>
      <c r="M177" s="15">
        <v>140</v>
      </c>
      <c r="N177" s="16" t="e">
        <f>S178</f>
        <v>#REF!</v>
      </c>
      <c r="O177" s="48" t="s">
        <v>1</v>
      </c>
      <c r="P177" s="29">
        <f>G182/55+M177/20+M178/20</f>
        <v>7</v>
      </c>
      <c r="Q177" s="8" t="s">
        <v>13</v>
      </c>
      <c r="R177" s="49" t="s">
        <v>14</v>
      </c>
      <c r="S177" s="50" t="e">
        <f>P183</f>
        <v>#REF!</v>
      </c>
      <c r="T177" s="51" t="s">
        <v>15</v>
      </c>
      <c r="U177" s="58"/>
      <c r="W177" s="16">
        <f>AB178</f>
        <v>119.89033613445378</v>
      </c>
      <c r="X177" s="48" t="s">
        <v>1</v>
      </c>
      <c r="Y177" s="29">
        <f>M177/20+G177/85+G178/90+G181/70</f>
        <v>7.4893557422969188</v>
      </c>
      <c r="Z177" s="8" t="s">
        <v>13</v>
      </c>
      <c r="AA177" s="49" t="s">
        <v>14</v>
      </c>
      <c r="AB177" s="50">
        <f>Y183</f>
        <v>868.60547619047622</v>
      </c>
      <c r="AC177" s="51" t="s">
        <v>15</v>
      </c>
      <c r="AD177" s="58"/>
    </row>
    <row r="178" spans="1:30" ht="16.149999999999999" customHeight="1">
      <c r="A178" s="259"/>
      <c r="B178" s="108" t="s">
        <v>54</v>
      </c>
      <c r="C178" s="77">
        <v>10</v>
      </c>
      <c r="D178" s="106" t="s">
        <v>35</v>
      </c>
      <c r="E178" s="107">
        <v>0.4</v>
      </c>
      <c r="F178" s="108" t="s">
        <v>61</v>
      </c>
      <c r="G178" s="162">
        <v>15</v>
      </c>
      <c r="H178" s="23"/>
      <c r="I178" s="126"/>
      <c r="J178" s="65" t="s">
        <v>244</v>
      </c>
      <c r="K178" s="24">
        <v>15</v>
      </c>
      <c r="L178" s="104"/>
      <c r="M178" s="128"/>
      <c r="N178" s="25" t="s">
        <v>19</v>
      </c>
      <c r="O178" s="17" t="s">
        <v>2</v>
      </c>
      <c r="P178" s="18" t="e">
        <f>C177*0.58/40+E179/55+#REF!*0.52/35+#REF!/80</f>
        <v>#REF!</v>
      </c>
      <c r="Q178" s="19" t="s">
        <v>13</v>
      </c>
      <c r="R178" s="20" t="s">
        <v>17</v>
      </c>
      <c r="S178" s="21" t="e">
        <f>P177*15+P179*5+P180*15+P181*12</f>
        <v>#REF!</v>
      </c>
      <c r="T178" s="19" t="s">
        <v>18</v>
      </c>
      <c r="U178" s="22" t="e">
        <f>S178*4/S177</f>
        <v>#REF!</v>
      </c>
      <c r="W178" s="25" t="s">
        <v>19</v>
      </c>
      <c r="X178" s="17" t="s">
        <v>2</v>
      </c>
      <c r="Y178" s="18">
        <f>C177/35+K178*0.65/35+E177*0.6/40+G179/35</f>
        <v>2.9464285714285712</v>
      </c>
      <c r="Z178" s="19" t="s">
        <v>13</v>
      </c>
      <c r="AA178" s="20" t="s">
        <v>17</v>
      </c>
      <c r="AB178" s="21">
        <f>Y177*15+Y179*5+Y180*15+Y181*12</f>
        <v>119.89033613445378</v>
      </c>
      <c r="AC178" s="19" t="s">
        <v>18</v>
      </c>
      <c r="AD178" s="22">
        <f>AB178*4/AB177</f>
        <v>0.55210490571746318</v>
      </c>
    </row>
    <row r="179" spans="1:30" ht="16.149999999999999" customHeight="1">
      <c r="A179" s="259"/>
      <c r="B179" s="23" t="s">
        <v>145</v>
      </c>
      <c r="C179" s="24">
        <v>3</v>
      </c>
      <c r="D179" s="104" t="s">
        <v>111</v>
      </c>
      <c r="E179" s="128">
        <v>8</v>
      </c>
      <c r="F179" s="108" t="s">
        <v>226</v>
      </c>
      <c r="G179" s="162">
        <v>5</v>
      </c>
      <c r="H179" s="23"/>
      <c r="I179" s="126"/>
      <c r="J179" s="59" t="s">
        <v>35</v>
      </c>
      <c r="K179" s="54">
        <v>0.35</v>
      </c>
      <c r="L179" s="115"/>
      <c r="M179" s="128"/>
      <c r="N179" s="16" t="e">
        <f>S179</f>
        <v>#REF!</v>
      </c>
      <c r="O179" s="26" t="s">
        <v>20</v>
      </c>
      <c r="P179" s="18" t="e">
        <f>(E177+E178+E179+E180+#REF!+#REF!+I177+#REF!+#REF!)/100</f>
        <v>#REF!</v>
      </c>
      <c r="Q179" s="19" t="s">
        <v>13</v>
      </c>
      <c r="R179" s="20" t="s">
        <v>21</v>
      </c>
      <c r="S179" s="21" t="e">
        <f>P178*5+P181*4+P182*5</f>
        <v>#REF!</v>
      </c>
      <c r="T179" s="19" t="s">
        <v>18</v>
      </c>
      <c r="U179" s="22" t="e">
        <f>S179*9/S177</f>
        <v>#REF!</v>
      </c>
      <c r="W179" s="16">
        <f>AB179</f>
        <v>26.732142857142854</v>
      </c>
      <c r="X179" s="26" t="s">
        <v>20</v>
      </c>
      <c r="Y179" s="18">
        <f>(C178+G180+G181+C179+K177+E179+I177+K180)/100</f>
        <v>1.51</v>
      </c>
      <c r="Z179" s="19" t="s">
        <v>13</v>
      </c>
      <c r="AA179" s="20" t="s">
        <v>21</v>
      </c>
      <c r="AB179" s="21">
        <f>Y178*5+Y181*4+Y182*5</f>
        <v>26.732142857142854</v>
      </c>
      <c r="AC179" s="19" t="s">
        <v>18</v>
      </c>
      <c r="AD179" s="22">
        <f>AB179*9/AB177</f>
        <v>0.27698338579381343</v>
      </c>
    </row>
    <row r="180" spans="1:30" ht="16.149999999999999" customHeight="1">
      <c r="A180" s="259"/>
      <c r="B180" s="23"/>
      <c r="C180" s="24"/>
      <c r="D180" s="101"/>
      <c r="E180" s="100"/>
      <c r="F180" s="108" t="s">
        <v>145</v>
      </c>
      <c r="G180" s="162">
        <v>5</v>
      </c>
      <c r="H180" s="12"/>
      <c r="I180" s="126"/>
      <c r="J180" s="65" t="s">
        <v>56</v>
      </c>
      <c r="K180" s="24">
        <v>3</v>
      </c>
      <c r="L180" s="101"/>
      <c r="M180" s="100"/>
      <c r="N180" s="25" t="s">
        <v>24</v>
      </c>
      <c r="O180" s="84" t="s">
        <v>22</v>
      </c>
      <c r="P180" s="29">
        <v>0</v>
      </c>
      <c r="Q180" s="19" t="s">
        <v>13</v>
      </c>
      <c r="R180" s="20" t="s">
        <v>23</v>
      </c>
      <c r="S180" s="21" t="e">
        <f>P177*2+P178*7+P179*1+P181*8</f>
        <v>#REF!</v>
      </c>
      <c r="T180" s="19" t="s">
        <v>18</v>
      </c>
      <c r="U180" s="22" t="e">
        <f>S180*4/S177</f>
        <v>#REF!</v>
      </c>
      <c r="W180" s="25" t="s">
        <v>24</v>
      </c>
      <c r="X180" s="28" t="s">
        <v>22</v>
      </c>
      <c r="Y180" s="29">
        <v>0</v>
      </c>
      <c r="Z180" s="19" t="s">
        <v>13</v>
      </c>
      <c r="AA180" s="20" t="s">
        <v>23</v>
      </c>
      <c r="AB180" s="21">
        <f>Y177*2+Y178*7+Y179*1+Y181*8</f>
        <v>37.113711484593836</v>
      </c>
      <c r="AC180" s="19" t="s">
        <v>18</v>
      </c>
      <c r="AD180" s="22">
        <f>AB180*4/AB177</f>
        <v>0.17091170848872328</v>
      </c>
    </row>
    <row r="181" spans="1:30" ht="16.149999999999999" customHeight="1">
      <c r="A181" s="259" t="s">
        <v>38</v>
      </c>
      <c r="B181" s="101"/>
      <c r="C181" s="100"/>
      <c r="D181" s="95"/>
      <c r="E181" s="94"/>
      <c r="F181" s="108" t="s">
        <v>90</v>
      </c>
      <c r="G181" s="162">
        <v>2</v>
      </c>
      <c r="H181" s="12"/>
      <c r="I181" s="126"/>
      <c r="J181" s="99"/>
      <c r="K181" s="94"/>
      <c r="L181" s="115"/>
      <c r="M181" s="128"/>
      <c r="N181" s="16" t="e">
        <f>S180</f>
        <v>#REF!</v>
      </c>
      <c r="O181" s="28" t="s">
        <v>3</v>
      </c>
      <c r="P181" s="29">
        <v>0</v>
      </c>
      <c r="Q181" s="19" t="s">
        <v>13</v>
      </c>
      <c r="R181" s="32"/>
      <c r="S181" s="32"/>
      <c r="T181" s="32"/>
      <c r="U181" s="33" t="e">
        <f>SUM(U178:U180)</f>
        <v>#REF!</v>
      </c>
      <c r="W181" s="16">
        <f>AB180</f>
        <v>37.113711484593836</v>
      </c>
      <c r="X181" s="28" t="s">
        <v>3</v>
      </c>
      <c r="Y181" s="29">
        <v>0</v>
      </c>
      <c r="Z181" s="19" t="s">
        <v>13</v>
      </c>
      <c r="AA181" s="32"/>
      <c r="AB181" s="32"/>
      <c r="AC181" s="32"/>
      <c r="AD181" s="33">
        <f>SUM(AD178:AD180)</f>
        <v>0.99999999999999989</v>
      </c>
    </row>
    <row r="182" spans="1:30" ht="16.149999999999999" customHeight="1">
      <c r="A182" s="259"/>
      <c r="B182" s="101"/>
      <c r="C182" s="100"/>
      <c r="D182" s="55"/>
      <c r="E182" s="56"/>
      <c r="F182" s="95"/>
      <c r="G182" s="120"/>
      <c r="H182" s="73"/>
      <c r="I182" s="71"/>
      <c r="J182" s="105"/>
      <c r="K182" s="60"/>
      <c r="L182" s="115"/>
      <c r="M182" s="128"/>
      <c r="N182" s="25" t="s">
        <v>27</v>
      </c>
      <c r="O182" s="34" t="s">
        <v>26</v>
      </c>
      <c r="P182" s="29">
        <v>2.5</v>
      </c>
      <c r="Q182" s="19" t="s">
        <v>13</v>
      </c>
      <c r="R182" s="35"/>
      <c r="S182" s="35"/>
      <c r="T182" s="35"/>
      <c r="U182" s="36"/>
      <c r="W182" s="25" t="s">
        <v>27</v>
      </c>
      <c r="X182" s="34" t="s">
        <v>26</v>
      </c>
      <c r="Y182" s="29">
        <v>2.4</v>
      </c>
      <c r="Z182" s="19" t="s">
        <v>13</v>
      </c>
      <c r="AA182" s="35"/>
      <c r="AB182" s="35"/>
      <c r="AC182" s="35"/>
      <c r="AD182" s="36"/>
    </row>
    <row r="183" spans="1:30" ht="16.149999999999999" customHeight="1" thickBot="1">
      <c r="A183" s="260"/>
      <c r="B183" s="261" t="s">
        <v>102</v>
      </c>
      <c r="C183" s="262"/>
      <c r="D183" s="261" t="s">
        <v>104</v>
      </c>
      <c r="E183" s="262"/>
      <c r="F183" s="261" t="s">
        <v>99</v>
      </c>
      <c r="G183" s="262"/>
      <c r="H183" s="261" t="s">
        <v>101</v>
      </c>
      <c r="I183" s="262"/>
      <c r="J183" s="261" t="s">
        <v>102</v>
      </c>
      <c r="K183" s="262"/>
      <c r="L183" s="261" t="s">
        <v>103</v>
      </c>
      <c r="M183" s="262"/>
      <c r="N183" s="43" t="e">
        <f>P183</f>
        <v>#REF!</v>
      </c>
      <c r="O183" s="38" t="s">
        <v>28</v>
      </c>
      <c r="P183" s="39" t="e">
        <f>P177*68+P178*73+P179*24+P180*60+P181*112+P182*45</f>
        <v>#REF!</v>
      </c>
      <c r="Q183" s="40" t="s">
        <v>15</v>
      </c>
      <c r="R183" s="41"/>
      <c r="S183" s="41"/>
      <c r="T183" s="41"/>
      <c r="U183" s="42"/>
      <c r="W183" s="43">
        <f>Y183</f>
        <v>868.60547619047622</v>
      </c>
      <c r="X183" s="38" t="s">
        <v>28</v>
      </c>
      <c r="Y183" s="39">
        <f>Y177*68+Y178*73+Y179*24+Y180*60+Y181*112+Y182*45</f>
        <v>868.60547619047622</v>
      </c>
      <c r="Z183" s="40" t="s">
        <v>15</v>
      </c>
      <c r="AA183" s="41"/>
      <c r="AB183" s="41"/>
      <c r="AC183" s="41"/>
      <c r="AD183" s="42"/>
    </row>
    <row r="184" spans="1:30">
      <c r="A184" s="247" t="s">
        <v>39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</row>
    <row r="185" spans="1:30" ht="16.149999999999999" customHeight="1">
      <c r="A185" s="249" t="s">
        <v>40</v>
      </c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</row>
    <row r="186" spans="1:30">
      <c r="A186" s="250" t="s">
        <v>41</v>
      </c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</row>
    <row r="187" spans="1:30" ht="16.149999999999999" customHeight="1">
      <c r="A187" s="251" t="s">
        <v>42</v>
      </c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</row>
    <row r="188" spans="1:30">
      <c r="A188" s="252" t="s">
        <v>43</v>
      </c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</row>
    <row r="189" spans="1:30" ht="22.6" thickBot="1">
      <c r="A189" s="279" t="s">
        <v>247</v>
      </c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</row>
    <row r="190" spans="1:30" ht="32.799999999999997" thickBot="1">
      <c r="A190" s="74" t="s">
        <v>4</v>
      </c>
      <c r="B190" s="75" t="s">
        <v>5</v>
      </c>
      <c r="C190" s="4" t="s">
        <v>6</v>
      </c>
      <c r="D190" s="75" t="s">
        <v>7</v>
      </c>
      <c r="E190" s="4" t="s">
        <v>6</v>
      </c>
      <c r="F190" s="75" t="s">
        <v>7</v>
      </c>
      <c r="G190" s="4" t="s">
        <v>6</v>
      </c>
      <c r="H190" s="75" t="s">
        <v>7</v>
      </c>
      <c r="I190" s="4" t="s">
        <v>6</v>
      </c>
      <c r="J190" s="75" t="s">
        <v>8</v>
      </c>
      <c r="K190" s="4" t="s">
        <v>6</v>
      </c>
      <c r="L190" s="75" t="s">
        <v>9</v>
      </c>
      <c r="M190" s="4" t="s">
        <v>6</v>
      </c>
      <c r="N190" s="4" t="s">
        <v>10</v>
      </c>
      <c r="O190" s="280" t="s">
        <v>11</v>
      </c>
      <c r="P190" s="281"/>
      <c r="Q190" s="281"/>
      <c r="R190" s="281"/>
      <c r="S190" s="281"/>
      <c r="T190" s="281"/>
      <c r="U190" s="282"/>
      <c r="W190" s="4" t="s">
        <v>10</v>
      </c>
      <c r="X190" s="280" t="s">
        <v>11</v>
      </c>
      <c r="Y190" s="281"/>
      <c r="Z190" s="281"/>
      <c r="AA190" s="281"/>
      <c r="AB190" s="281"/>
      <c r="AC190" s="281"/>
      <c r="AD190" s="282"/>
    </row>
    <row r="191" spans="1:30" ht="16.149999999999999" customHeight="1" thickBot="1">
      <c r="A191" s="263">
        <f>A176+3</f>
        <v>43913</v>
      </c>
      <c r="B191" s="264" t="s">
        <v>187</v>
      </c>
      <c r="C191" s="269"/>
      <c r="D191" s="265" t="s">
        <v>248</v>
      </c>
      <c r="E191" s="269"/>
      <c r="F191" s="268" t="s">
        <v>283</v>
      </c>
      <c r="G191" s="272"/>
      <c r="H191" s="268" t="s">
        <v>44</v>
      </c>
      <c r="I191" s="272"/>
      <c r="J191" s="276" t="s">
        <v>188</v>
      </c>
      <c r="K191" s="277"/>
      <c r="L191" s="276" t="s">
        <v>142</v>
      </c>
      <c r="M191" s="277"/>
      <c r="N191" s="5" t="s">
        <v>12</v>
      </c>
      <c r="O191" s="48" t="s">
        <v>1</v>
      </c>
      <c r="P191" s="7">
        <f>C192/65+G192/55+G193/90+K192/20+M192/20+M193/20</f>
        <v>9.0440947940947929</v>
      </c>
      <c r="Q191" s="8" t="s">
        <v>13</v>
      </c>
      <c r="R191" s="9" t="s">
        <v>14</v>
      </c>
      <c r="S191" s="10">
        <f>P197</f>
        <v>886.39169275169263</v>
      </c>
      <c r="T191" s="8" t="s">
        <v>15</v>
      </c>
      <c r="U191" s="11" t="s">
        <v>16</v>
      </c>
      <c r="W191" s="5" t="s">
        <v>12</v>
      </c>
      <c r="X191" s="253" t="s">
        <v>29</v>
      </c>
      <c r="Y191" s="254"/>
      <c r="Z191" s="255"/>
      <c r="AA191" s="256" t="s">
        <v>30</v>
      </c>
      <c r="AB191" s="257"/>
      <c r="AC191" s="257"/>
      <c r="AD191" s="258"/>
    </row>
    <row r="192" spans="1:30" ht="16.149999999999999" customHeight="1">
      <c r="A192" s="259"/>
      <c r="B192" s="102" t="s">
        <v>88</v>
      </c>
      <c r="C192" s="98">
        <v>70</v>
      </c>
      <c r="D192" s="99" t="s">
        <v>235</v>
      </c>
      <c r="E192" s="119">
        <v>45</v>
      </c>
      <c r="F192" s="101" t="s">
        <v>66</v>
      </c>
      <c r="G192" s="100">
        <v>15</v>
      </c>
      <c r="H192" s="110" t="s">
        <v>77</v>
      </c>
      <c r="I192" s="76">
        <v>100</v>
      </c>
      <c r="J192" s="61" t="s">
        <v>249</v>
      </c>
      <c r="K192" s="15">
        <v>5</v>
      </c>
      <c r="L192" s="61" t="s">
        <v>34</v>
      </c>
      <c r="M192" s="15">
        <v>140</v>
      </c>
      <c r="N192" s="16">
        <f>S192</f>
        <v>141.21142191142189</v>
      </c>
      <c r="O192" s="17" t="s">
        <v>2</v>
      </c>
      <c r="P192" s="18">
        <f>C194/55+E192/50+E193/35+K195/35</f>
        <v>1.8116883116883116</v>
      </c>
      <c r="Q192" s="19" t="s">
        <v>13</v>
      </c>
      <c r="R192" s="20" t="s">
        <v>17</v>
      </c>
      <c r="S192" s="21">
        <f>P191*15+P193*5+P194*15+P195*12</f>
        <v>141.21142191142189</v>
      </c>
      <c r="T192" s="19" t="s">
        <v>18</v>
      </c>
      <c r="U192" s="22">
        <f>S192*4/S191</f>
        <v>0.63724163060711281</v>
      </c>
      <c r="W192" s="16">
        <f>AB193</f>
        <v>115.93333333333332</v>
      </c>
      <c r="X192" s="6" t="s">
        <v>1</v>
      </c>
      <c r="Y192" s="7">
        <f>M192/20+K195/90</f>
        <v>7.2222222222222223</v>
      </c>
      <c r="Z192" s="8" t="s">
        <v>13</v>
      </c>
      <c r="AA192" s="9" t="s">
        <v>14</v>
      </c>
      <c r="AB192" s="10">
        <f>Y198</f>
        <v>847.29111111111115</v>
      </c>
      <c r="AC192" s="8" t="s">
        <v>15</v>
      </c>
      <c r="AD192" s="11" t="s">
        <v>16</v>
      </c>
    </row>
    <row r="193" spans="1:30" ht="16.149999999999999" customHeight="1">
      <c r="A193" s="259"/>
      <c r="B193" s="164" t="s">
        <v>35</v>
      </c>
      <c r="C193" s="165">
        <v>0</v>
      </c>
      <c r="D193" s="67" t="s">
        <v>47</v>
      </c>
      <c r="E193" s="124">
        <v>10</v>
      </c>
      <c r="F193" s="23" t="s">
        <v>97</v>
      </c>
      <c r="G193" s="126">
        <v>40</v>
      </c>
      <c r="H193" s="104"/>
      <c r="I193" s="64"/>
      <c r="J193" s="23" t="s">
        <v>54</v>
      </c>
      <c r="K193" s="126">
        <v>8</v>
      </c>
      <c r="L193" s="104"/>
      <c r="M193" s="128"/>
      <c r="N193" s="25" t="s">
        <v>19</v>
      </c>
      <c r="O193" s="26" t="s">
        <v>20</v>
      </c>
      <c r="P193" s="18">
        <f>(C193+I192+K193+K194+K196)/100</f>
        <v>1.1100000000000001</v>
      </c>
      <c r="Q193" s="19" t="s">
        <v>13</v>
      </c>
      <c r="R193" s="20" t="s">
        <v>21</v>
      </c>
      <c r="S193" s="21">
        <f>P192*5+P195*4+P196*5</f>
        <v>21.558441558441558</v>
      </c>
      <c r="T193" s="19" t="s">
        <v>18</v>
      </c>
      <c r="U193" s="22">
        <f>S193*9/S191</f>
        <v>0.21889417016493526</v>
      </c>
      <c r="W193" s="25" t="s">
        <v>19</v>
      </c>
      <c r="X193" s="17" t="s">
        <v>2</v>
      </c>
      <c r="Y193" s="18">
        <f>E192/50+C192/55+G193/55</f>
        <v>2.9000000000000004</v>
      </c>
      <c r="Z193" s="19" t="s">
        <v>13</v>
      </c>
      <c r="AA193" s="20" t="s">
        <v>17</v>
      </c>
      <c r="AB193" s="21">
        <f>Y192*15+Y194*5+Y195*15+Y196*12</f>
        <v>115.93333333333332</v>
      </c>
      <c r="AC193" s="19" t="s">
        <v>18</v>
      </c>
      <c r="AD193" s="22">
        <f>AB193*4/AB192</f>
        <v>0.5473128742318657</v>
      </c>
    </row>
    <row r="194" spans="1:30" ht="16.149999999999999" customHeight="1">
      <c r="A194" s="259"/>
      <c r="B194" s="104" t="s">
        <v>129</v>
      </c>
      <c r="C194" s="128">
        <v>3</v>
      </c>
      <c r="D194" s="105" t="s">
        <v>146</v>
      </c>
      <c r="E194" s="120">
        <v>10</v>
      </c>
      <c r="F194" s="95" t="s">
        <v>145</v>
      </c>
      <c r="G194" s="94">
        <v>3</v>
      </c>
      <c r="H194" s="115"/>
      <c r="I194" s="128"/>
      <c r="J194" s="12" t="s">
        <v>145</v>
      </c>
      <c r="K194" s="126">
        <v>3</v>
      </c>
      <c r="L194" s="115"/>
      <c r="M194" s="128"/>
      <c r="N194" s="16">
        <f>S193</f>
        <v>21.558441558441558</v>
      </c>
      <c r="O194" s="84" t="s">
        <v>22</v>
      </c>
      <c r="P194" s="29">
        <v>0</v>
      </c>
      <c r="Q194" s="19" t="s">
        <v>13</v>
      </c>
      <c r="R194" s="20" t="s">
        <v>23</v>
      </c>
      <c r="S194" s="21">
        <f>P191*2+P192*7+P193*1+P195*8</f>
        <v>31.880007770007765</v>
      </c>
      <c r="T194" s="19" t="s">
        <v>18</v>
      </c>
      <c r="U194" s="22">
        <f>S194*4/S191</f>
        <v>0.14386419922795193</v>
      </c>
      <c r="W194" s="16">
        <f>AB194</f>
        <v>26.5</v>
      </c>
      <c r="X194" s="26" t="s">
        <v>20</v>
      </c>
      <c r="Y194" s="18">
        <f>(E193+C194+C195+C194+I192+K192+K193+K194+E194+E195)/100</f>
        <v>1.52</v>
      </c>
      <c r="Z194" s="19" t="s">
        <v>13</v>
      </c>
      <c r="AA194" s="20" t="s">
        <v>21</v>
      </c>
      <c r="AB194" s="21">
        <f>Y193*5+Y196*4+Y197*5</f>
        <v>26.5</v>
      </c>
      <c r="AC194" s="19" t="s">
        <v>18</v>
      </c>
      <c r="AD194" s="22">
        <f>AB194*9/AB192</f>
        <v>0.281485308735552</v>
      </c>
    </row>
    <row r="195" spans="1:30" ht="16.149999999999999" customHeight="1">
      <c r="A195" s="259"/>
      <c r="B195" s="104" t="s">
        <v>54</v>
      </c>
      <c r="C195" s="148">
        <v>5</v>
      </c>
      <c r="D195" s="67" t="s">
        <v>145</v>
      </c>
      <c r="E195" s="120">
        <v>5</v>
      </c>
      <c r="F195" s="23" t="s">
        <v>250</v>
      </c>
      <c r="G195" s="94">
        <v>0.5</v>
      </c>
      <c r="H195" s="115"/>
      <c r="I195" s="128"/>
      <c r="J195" s="95" t="s">
        <v>61</v>
      </c>
      <c r="K195" s="94">
        <v>20</v>
      </c>
      <c r="L195" s="101"/>
      <c r="M195" s="100"/>
      <c r="N195" s="25" t="s">
        <v>24</v>
      </c>
      <c r="O195" s="28" t="s">
        <v>3</v>
      </c>
      <c r="P195" s="29">
        <v>0</v>
      </c>
      <c r="Q195" s="19" t="s">
        <v>13</v>
      </c>
      <c r="R195" s="32"/>
      <c r="S195" s="32"/>
      <c r="T195" s="32"/>
      <c r="U195" s="33">
        <f>SUM(U192:U194)</f>
        <v>1</v>
      </c>
      <c r="W195" s="25" t="s">
        <v>24</v>
      </c>
      <c r="X195" s="28" t="s">
        <v>22</v>
      </c>
      <c r="Y195" s="29">
        <v>0</v>
      </c>
      <c r="Z195" s="19" t="s">
        <v>13</v>
      </c>
      <c r="AA195" s="20" t="s">
        <v>23</v>
      </c>
      <c r="AB195" s="21">
        <f>Y192*2+Y193*7+Y194*1+Y196*8</f>
        <v>36.26444444444445</v>
      </c>
      <c r="AC195" s="19" t="s">
        <v>18</v>
      </c>
      <c r="AD195" s="22">
        <f>AB195*4/AB192</f>
        <v>0.17120181703258228</v>
      </c>
    </row>
    <row r="196" spans="1:30" ht="16.149999999999999" customHeight="1">
      <c r="A196" s="259" t="s">
        <v>25</v>
      </c>
      <c r="B196" s="104"/>
      <c r="C196" s="154"/>
      <c r="F196" s="146"/>
      <c r="G196" s="148"/>
      <c r="H196" s="115"/>
      <c r="I196" s="128"/>
      <c r="J196" s="115"/>
      <c r="K196" s="126"/>
      <c r="L196" s="115"/>
      <c r="M196" s="128"/>
      <c r="N196" s="16">
        <f>S194</f>
        <v>31.880007770007765</v>
      </c>
      <c r="O196" s="34" t="s">
        <v>26</v>
      </c>
      <c r="P196" s="29">
        <v>2.5</v>
      </c>
      <c r="Q196" s="19" t="s">
        <v>13</v>
      </c>
      <c r="R196" s="35"/>
      <c r="S196" s="35"/>
      <c r="T196" s="35"/>
      <c r="U196" s="36"/>
      <c r="W196" s="16">
        <f>AB195</f>
        <v>36.26444444444445</v>
      </c>
      <c r="X196" s="28" t="s">
        <v>3</v>
      </c>
      <c r="Y196" s="29">
        <v>0</v>
      </c>
      <c r="Z196" s="19" t="s">
        <v>13</v>
      </c>
      <c r="AA196" s="32"/>
      <c r="AB196" s="32"/>
      <c r="AC196" s="32"/>
      <c r="AD196" s="33">
        <f>SUM(AD193:AD195)</f>
        <v>1</v>
      </c>
    </row>
    <row r="197" spans="1:30" ht="16.149999999999999" customHeight="1" thickBot="1">
      <c r="A197" s="259"/>
      <c r="B197" s="23"/>
      <c r="C197" s="24"/>
      <c r="D197" s="99"/>
      <c r="E197" s="119"/>
      <c r="F197" s="101"/>
      <c r="G197" s="100"/>
      <c r="H197" s="115"/>
      <c r="I197" s="128"/>
      <c r="J197" s="12"/>
      <c r="K197" s="126"/>
      <c r="L197" s="115"/>
      <c r="M197" s="128"/>
      <c r="N197" s="25" t="s">
        <v>27</v>
      </c>
      <c r="O197" s="38" t="s">
        <v>28</v>
      </c>
      <c r="P197" s="39">
        <f>P191*68+P192*73+P193*24+P194*60+P195*112+P196*45</f>
        <v>886.39169275169263</v>
      </c>
      <c r="Q197" s="40" t="s">
        <v>15</v>
      </c>
      <c r="R197" s="41"/>
      <c r="S197" s="41"/>
      <c r="T197" s="41"/>
      <c r="U197" s="42"/>
      <c r="W197" s="25" t="s">
        <v>27</v>
      </c>
      <c r="X197" s="34" t="s">
        <v>26</v>
      </c>
      <c r="Y197" s="29">
        <v>2.4</v>
      </c>
      <c r="Z197" s="19" t="s">
        <v>13</v>
      </c>
      <c r="AA197" s="35"/>
      <c r="AB197" s="35"/>
      <c r="AC197" s="35"/>
      <c r="AD197" s="36"/>
    </row>
    <row r="198" spans="1:30" ht="16.149999999999999" customHeight="1" thickBot="1">
      <c r="A198" s="260"/>
      <c r="B198" s="261" t="s">
        <v>104</v>
      </c>
      <c r="C198" s="262"/>
      <c r="D198" s="273" t="s">
        <v>102</v>
      </c>
      <c r="E198" s="273"/>
      <c r="F198" s="261" t="s">
        <v>99</v>
      </c>
      <c r="G198" s="262"/>
      <c r="H198" s="261" t="s">
        <v>101</v>
      </c>
      <c r="I198" s="262"/>
      <c r="J198" s="261" t="s">
        <v>102</v>
      </c>
      <c r="K198" s="262"/>
      <c r="L198" s="261" t="s">
        <v>103</v>
      </c>
      <c r="M198" s="262"/>
      <c r="N198" s="43">
        <f>P197</f>
        <v>886.39169275169263</v>
      </c>
      <c r="O198" s="44"/>
      <c r="P198" s="45"/>
      <c r="Q198" s="45"/>
      <c r="R198" s="45"/>
      <c r="S198" s="45"/>
      <c r="T198" s="45"/>
      <c r="U198" s="46"/>
      <c r="W198" s="43">
        <f>Y198</f>
        <v>847.29111111111115</v>
      </c>
      <c r="X198" s="38" t="s">
        <v>28</v>
      </c>
      <c r="Y198" s="39">
        <f>Y192*68+Y193*73+Y194*24+Y195*60+Y196*112+Y197*45</f>
        <v>847.29111111111115</v>
      </c>
      <c r="Z198" s="40" t="s">
        <v>15</v>
      </c>
      <c r="AA198" s="41"/>
      <c r="AB198" s="41"/>
      <c r="AC198" s="41"/>
      <c r="AD198" s="42"/>
    </row>
    <row r="199" spans="1:30" ht="16.149999999999999" customHeight="1" thickBot="1">
      <c r="A199" s="263">
        <f>A191+1</f>
        <v>43914</v>
      </c>
      <c r="B199" s="268" t="s">
        <v>134</v>
      </c>
      <c r="C199" s="270"/>
      <c r="D199" s="268" t="s">
        <v>189</v>
      </c>
      <c r="E199" s="267"/>
      <c r="F199" s="268" t="s">
        <v>481</v>
      </c>
      <c r="G199" s="267"/>
      <c r="H199" s="265" t="s">
        <v>46</v>
      </c>
      <c r="I199" s="269"/>
      <c r="J199" s="268" t="s">
        <v>190</v>
      </c>
      <c r="K199" s="267"/>
      <c r="L199" s="276" t="s">
        <v>142</v>
      </c>
      <c r="M199" s="277"/>
      <c r="N199" s="5" t="s">
        <v>12</v>
      </c>
      <c r="O199" s="253" t="s">
        <v>29</v>
      </c>
      <c r="P199" s="254"/>
      <c r="Q199" s="255"/>
      <c r="R199" s="256" t="s">
        <v>30</v>
      </c>
      <c r="S199" s="257"/>
      <c r="T199" s="257"/>
      <c r="U199" s="258"/>
      <c r="W199" s="5" t="s">
        <v>12</v>
      </c>
      <c r="X199" s="253" t="s">
        <v>29</v>
      </c>
      <c r="Y199" s="254"/>
      <c r="Z199" s="255"/>
      <c r="AA199" s="256" t="s">
        <v>30</v>
      </c>
      <c r="AB199" s="257"/>
      <c r="AC199" s="257"/>
      <c r="AD199" s="258"/>
    </row>
    <row r="200" spans="1:30" ht="16.149999999999999" customHeight="1">
      <c r="A200" s="259"/>
      <c r="B200" s="104" t="s">
        <v>62</v>
      </c>
      <c r="C200" s="126">
        <v>120</v>
      </c>
      <c r="D200" s="57" t="s">
        <v>59</v>
      </c>
      <c r="E200" s="47">
        <v>30</v>
      </c>
      <c r="F200" s="110" t="s">
        <v>482</v>
      </c>
      <c r="G200" s="111">
        <v>10</v>
      </c>
      <c r="H200" s="93" t="s">
        <v>63</v>
      </c>
      <c r="I200" s="76">
        <v>100</v>
      </c>
      <c r="J200" s="102" t="s">
        <v>251</v>
      </c>
      <c r="K200" s="98">
        <v>20</v>
      </c>
      <c r="L200" s="61" t="s">
        <v>34</v>
      </c>
      <c r="M200" s="15">
        <v>130</v>
      </c>
      <c r="N200" s="16" t="e">
        <f>S201</f>
        <v>#REF!</v>
      </c>
      <c r="O200" s="48" t="s">
        <v>1</v>
      </c>
      <c r="P200" s="29">
        <f>G200/20+M200/20+M201/55</f>
        <v>7</v>
      </c>
      <c r="Q200" s="8" t="s">
        <v>13</v>
      </c>
      <c r="R200" s="49" t="s">
        <v>14</v>
      </c>
      <c r="S200" s="50" t="e">
        <f>P206</f>
        <v>#REF!</v>
      </c>
      <c r="T200" s="51" t="s">
        <v>15</v>
      </c>
      <c r="U200" s="52" t="s">
        <v>16</v>
      </c>
      <c r="W200" s="16">
        <f>AB201</f>
        <v>120.21666666666665</v>
      </c>
      <c r="X200" s="48" t="s">
        <v>1</v>
      </c>
      <c r="Y200" s="7">
        <f>M200/20+K205/20+G200/90+G201/90</f>
        <v>7.4444444444444438</v>
      </c>
      <c r="Z200" s="8" t="s">
        <v>13</v>
      </c>
      <c r="AA200" s="49" t="s">
        <v>14</v>
      </c>
      <c r="AB200" s="50">
        <f>Y206</f>
        <v>844.5407936507936</v>
      </c>
      <c r="AC200" s="51" t="s">
        <v>15</v>
      </c>
      <c r="AD200" s="52" t="s">
        <v>16</v>
      </c>
    </row>
    <row r="201" spans="1:30" ht="16.149999999999999" customHeight="1">
      <c r="A201" s="259"/>
      <c r="B201" s="55" t="s">
        <v>35</v>
      </c>
      <c r="C201" s="56">
        <v>0.4</v>
      </c>
      <c r="D201" s="23" t="s">
        <v>72</v>
      </c>
      <c r="E201" s="126">
        <v>8</v>
      </c>
      <c r="F201" s="112" t="s">
        <v>483</v>
      </c>
      <c r="G201" s="91">
        <v>30</v>
      </c>
      <c r="H201" s="65"/>
      <c r="I201" s="64"/>
      <c r="J201" s="164" t="s">
        <v>35</v>
      </c>
      <c r="K201" s="165">
        <v>0.4</v>
      </c>
      <c r="L201" s="104"/>
      <c r="M201" s="128"/>
      <c r="N201" s="25" t="s">
        <v>19</v>
      </c>
      <c r="O201" s="17" t="s">
        <v>2</v>
      </c>
      <c r="P201" s="18" t="e">
        <f>C200/35+G203/35+E203/55+#REF!*0.65/35</f>
        <v>#REF!</v>
      </c>
      <c r="Q201" s="19" t="s">
        <v>13</v>
      </c>
      <c r="R201" s="20" t="s">
        <v>17</v>
      </c>
      <c r="S201" s="21" t="e">
        <f>P200*15+P202*5+P203*15+P204*12</f>
        <v>#REF!</v>
      </c>
      <c r="T201" s="19" t="s">
        <v>18</v>
      </c>
      <c r="U201" s="22" t="e">
        <f>S201*4/S200</f>
        <v>#REF!</v>
      </c>
      <c r="W201" s="25" t="s">
        <v>19</v>
      </c>
      <c r="X201" s="17" t="s">
        <v>2</v>
      </c>
      <c r="Y201" s="18">
        <f>C200*0.6/40+E202/40+K200*0.6/35+G200/50</f>
        <v>2.592857142857143</v>
      </c>
      <c r="Z201" s="19" t="s">
        <v>13</v>
      </c>
      <c r="AA201" s="20" t="s">
        <v>17</v>
      </c>
      <c r="AB201" s="21">
        <f>Y200*15+Y202*5+Y203*15+Y204*12</f>
        <v>120.21666666666665</v>
      </c>
      <c r="AC201" s="19" t="s">
        <v>18</v>
      </c>
      <c r="AD201" s="22">
        <f>AB201*4/AB200</f>
        <v>0.56938240317317179</v>
      </c>
    </row>
    <row r="202" spans="1:30" ht="16.149999999999999" customHeight="1">
      <c r="A202" s="259"/>
      <c r="B202" s="23"/>
      <c r="C202" s="24"/>
      <c r="D202" s="104" t="s">
        <v>118</v>
      </c>
      <c r="E202" s="126">
        <v>10</v>
      </c>
      <c r="F202" s="104" t="s">
        <v>484</v>
      </c>
      <c r="G202" s="126">
        <v>5</v>
      </c>
      <c r="H202" s="31"/>
      <c r="I202" s="128"/>
      <c r="J202" s="23" t="s">
        <v>83</v>
      </c>
      <c r="K202" s="27">
        <v>1</v>
      </c>
      <c r="L202" s="115"/>
      <c r="M202" s="128"/>
      <c r="N202" s="16" t="e">
        <f>S202</f>
        <v>#REF!</v>
      </c>
      <c r="O202" s="26" t="s">
        <v>20</v>
      </c>
      <c r="P202" s="18" t="e">
        <f>(C201+G201+G202+E200+E201+E202+#REF!+I200+#REF!)/100</f>
        <v>#REF!</v>
      </c>
      <c r="Q202" s="19" t="s">
        <v>13</v>
      </c>
      <c r="R202" s="20" t="s">
        <v>21</v>
      </c>
      <c r="S202" s="21" t="e">
        <f>P201*5+P204*4+P205*5</f>
        <v>#REF!</v>
      </c>
      <c r="T202" s="19" t="s">
        <v>18</v>
      </c>
      <c r="U202" s="22" t="e">
        <f>S202*9/S200</f>
        <v>#REF!</v>
      </c>
      <c r="W202" s="16">
        <f>AB202</f>
        <v>24.964285714285715</v>
      </c>
      <c r="X202" s="26" t="s">
        <v>20</v>
      </c>
      <c r="Y202" s="18">
        <f>(K202+I200+E200+E201+E204+E203+K204+K203+G202+G203)/100</f>
        <v>1.71</v>
      </c>
      <c r="Z202" s="19" t="s">
        <v>13</v>
      </c>
      <c r="AA202" s="20" t="s">
        <v>21</v>
      </c>
      <c r="AB202" s="21">
        <f>Y201*5+Y204*4+Y205*5</f>
        <v>24.964285714285715</v>
      </c>
      <c r="AC202" s="19" t="s">
        <v>18</v>
      </c>
      <c r="AD202" s="22">
        <f>AB202*9/AB200</f>
        <v>0.26603637517298312</v>
      </c>
    </row>
    <row r="203" spans="1:30" ht="16.149999999999999" customHeight="1">
      <c r="A203" s="259"/>
      <c r="B203" s="23"/>
      <c r="C203" s="24"/>
      <c r="D203" s="104" t="s">
        <v>145</v>
      </c>
      <c r="E203" s="30">
        <v>3</v>
      </c>
      <c r="F203" s="23" t="s">
        <v>485</v>
      </c>
      <c r="G203" s="126">
        <v>10</v>
      </c>
      <c r="H203" s="31"/>
      <c r="I203" s="128"/>
      <c r="J203" s="12" t="s">
        <v>87</v>
      </c>
      <c r="K203" s="126">
        <v>1</v>
      </c>
      <c r="L203" s="101"/>
      <c r="M203" s="100"/>
      <c r="N203" s="25" t="s">
        <v>24</v>
      </c>
      <c r="O203" s="84" t="s">
        <v>22</v>
      </c>
      <c r="P203" s="29">
        <v>0</v>
      </c>
      <c r="Q203" s="19" t="s">
        <v>13</v>
      </c>
      <c r="R203" s="20" t="s">
        <v>23</v>
      </c>
      <c r="S203" s="21" t="e">
        <f>P200*2+P201*7+P202*1+P204*8</f>
        <v>#REF!</v>
      </c>
      <c r="T203" s="19" t="s">
        <v>18</v>
      </c>
      <c r="U203" s="22" t="e">
        <f>S203*4/S200</f>
        <v>#REF!</v>
      </c>
      <c r="W203" s="25" t="s">
        <v>24</v>
      </c>
      <c r="X203" s="28" t="s">
        <v>22</v>
      </c>
      <c r="Y203" s="29">
        <v>0</v>
      </c>
      <c r="Z203" s="19" t="s">
        <v>13</v>
      </c>
      <c r="AA203" s="20" t="s">
        <v>23</v>
      </c>
      <c r="AB203" s="21">
        <f>Y200*2+Y201*7+Y202*1+Y204*8</f>
        <v>34.748888888888892</v>
      </c>
      <c r="AC203" s="19" t="s">
        <v>18</v>
      </c>
      <c r="AD203" s="22">
        <f>AB203*4/AB200</f>
        <v>0.16458122165384517</v>
      </c>
    </row>
    <row r="204" spans="1:30" ht="16.149999999999999" customHeight="1">
      <c r="A204" s="259" t="s">
        <v>31</v>
      </c>
      <c r="B204" s="101"/>
      <c r="C204" s="100"/>
      <c r="D204" s="134" t="s">
        <v>47</v>
      </c>
      <c r="E204" s="125">
        <v>3</v>
      </c>
      <c r="F204" s="23" t="s">
        <v>486</v>
      </c>
      <c r="G204" s="24">
        <v>1</v>
      </c>
      <c r="H204" s="31"/>
      <c r="I204" s="128"/>
      <c r="J204" s="12" t="s">
        <v>72</v>
      </c>
      <c r="K204" s="126">
        <v>10</v>
      </c>
      <c r="L204" s="115"/>
      <c r="M204" s="128"/>
      <c r="N204" s="16" t="e">
        <f>S203</f>
        <v>#REF!</v>
      </c>
      <c r="O204" s="28" t="s">
        <v>3</v>
      </c>
      <c r="P204" s="29">
        <v>0</v>
      </c>
      <c r="Q204" s="19" t="s">
        <v>13</v>
      </c>
      <c r="R204" s="32"/>
      <c r="S204" s="32"/>
      <c r="T204" s="32"/>
      <c r="U204" s="33" t="e">
        <f>SUM(U201:U203)</f>
        <v>#REF!</v>
      </c>
      <c r="W204" s="16">
        <f>AB203</f>
        <v>34.748888888888892</v>
      </c>
      <c r="X204" s="28" t="s">
        <v>3</v>
      </c>
      <c r="Y204" s="29">
        <v>0</v>
      </c>
      <c r="Z204" s="19" t="s">
        <v>13</v>
      </c>
      <c r="AA204" s="32"/>
      <c r="AB204" s="32"/>
      <c r="AC204" s="32"/>
      <c r="AD204" s="33">
        <f>SUM(AD201:AD203)</f>
        <v>1</v>
      </c>
    </row>
    <row r="205" spans="1:30" ht="16.149999999999999" customHeight="1">
      <c r="A205" s="259"/>
      <c r="B205" s="101"/>
      <c r="C205" s="100"/>
      <c r="D205" s="95"/>
      <c r="E205" s="120"/>
      <c r="F205" s="12"/>
      <c r="G205" s="126"/>
      <c r="H205" s="31"/>
      <c r="I205" s="128"/>
      <c r="J205" s="12" t="s">
        <v>52</v>
      </c>
      <c r="K205" s="126">
        <v>10</v>
      </c>
      <c r="L205" s="115"/>
      <c r="M205" s="128"/>
      <c r="N205" s="25" t="s">
        <v>27</v>
      </c>
      <c r="O205" s="34" t="s">
        <v>26</v>
      </c>
      <c r="P205" s="29">
        <v>2.5</v>
      </c>
      <c r="Q205" s="19" t="s">
        <v>13</v>
      </c>
      <c r="R205" s="35"/>
      <c r="S205" s="35"/>
      <c r="T205" s="35"/>
      <c r="U205" s="36"/>
      <c r="W205" s="25" t="s">
        <v>27</v>
      </c>
      <c r="X205" s="34" t="s">
        <v>26</v>
      </c>
      <c r="Y205" s="29">
        <v>2.4</v>
      </c>
      <c r="Z205" s="19" t="s">
        <v>13</v>
      </c>
      <c r="AA205" s="35"/>
      <c r="AB205" s="35"/>
      <c r="AC205" s="35"/>
      <c r="AD205" s="36"/>
    </row>
    <row r="206" spans="1:30" ht="16.149999999999999" customHeight="1" thickBot="1">
      <c r="A206" s="260"/>
      <c r="B206" s="261" t="s">
        <v>102</v>
      </c>
      <c r="C206" s="262"/>
      <c r="D206" s="261" t="s">
        <v>102</v>
      </c>
      <c r="E206" s="262"/>
      <c r="F206" s="261" t="s">
        <v>100</v>
      </c>
      <c r="G206" s="262"/>
      <c r="H206" s="273" t="s">
        <v>101</v>
      </c>
      <c r="I206" s="262"/>
      <c r="J206" s="261" t="s">
        <v>102</v>
      </c>
      <c r="K206" s="262"/>
      <c r="L206" s="261" t="s">
        <v>103</v>
      </c>
      <c r="M206" s="262"/>
      <c r="N206" s="43" t="e">
        <f>P206</f>
        <v>#REF!</v>
      </c>
      <c r="O206" s="38" t="s">
        <v>28</v>
      </c>
      <c r="P206" s="39" t="e">
        <f>P200*68+P201*73+P202*24+P203*60+P204*112+P205*45</f>
        <v>#REF!</v>
      </c>
      <c r="Q206" s="40" t="s">
        <v>15</v>
      </c>
      <c r="R206" s="41"/>
      <c r="S206" s="41"/>
      <c r="T206" s="41"/>
      <c r="U206" s="42"/>
      <c r="W206" s="43">
        <f>Y206</f>
        <v>844.5407936507936</v>
      </c>
      <c r="X206" s="38" t="s">
        <v>28</v>
      </c>
      <c r="Y206" s="39">
        <f>Y200*68+Y201*73+Y202*24+Y203*60+Y204*112+Y205*45</f>
        <v>844.5407936507936</v>
      </c>
      <c r="Z206" s="40" t="s">
        <v>15</v>
      </c>
      <c r="AA206" s="41"/>
      <c r="AB206" s="41"/>
      <c r="AC206" s="41"/>
      <c r="AD206" s="42"/>
    </row>
    <row r="207" spans="1:30" ht="16.149999999999999" customHeight="1" thickBot="1">
      <c r="A207" s="263">
        <f>A199+1</f>
        <v>43915</v>
      </c>
      <c r="B207" s="264" t="s">
        <v>268</v>
      </c>
      <c r="C207" s="265"/>
      <c r="D207" s="264" t="s">
        <v>279</v>
      </c>
      <c r="E207" s="265"/>
      <c r="F207" s="264" t="s">
        <v>307</v>
      </c>
      <c r="G207" s="265"/>
      <c r="H207" s="268" t="s">
        <v>48</v>
      </c>
      <c r="I207" s="267"/>
      <c r="J207" s="268" t="s">
        <v>269</v>
      </c>
      <c r="K207" s="267"/>
      <c r="L207" s="264" t="s">
        <v>273</v>
      </c>
      <c r="M207" s="265"/>
      <c r="N207" s="5" t="s">
        <v>12</v>
      </c>
      <c r="O207" s="253" t="s">
        <v>29</v>
      </c>
      <c r="P207" s="254"/>
      <c r="Q207" s="255"/>
      <c r="R207" s="256" t="s">
        <v>30</v>
      </c>
      <c r="S207" s="257"/>
      <c r="T207" s="257"/>
      <c r="U207" s="258"/>
      <c r="W207" s="5" t="s">
        <v>12</v>
      </c>
      <c r="X207" s="253" t="s">
        <v>29</v>
      </c>
      <c r="Y207" s="254"/>
      <c r="Z207" s="255"/>
      <c r="AA207" s="256" t="s">
        <v>30</v>
      </c>
      <c r="AB207" s="257"/>
      <c r="AC207" s="257"/>
      <c r="AD207" s="258"/>
    </row>
    <row r="208" spans="1:30" ht="16.149999999999999" customHeight="1">
      <c r="A208" s="259"/>
      <c r="B208" s="61" t="s">
        <v>252</v>
      </c>
      <c r="C208" s="98">
        <v>90</v>
      </c>
      <c r="D208" s="93" t="s">
        <v>119</v>
      </c>
      <c r="E208" s="114">
        <v>25</v>
      </c>
      <c r="F208" s="93" t="s">
        <v>280</v>
      </c>
      <c r="G208" s="114">
        <v>50</v>
      </c>
      <c r="H208" s="110" t="s">
        <v>57</v>
      </c>
      <c r="I208" s="76">
        <v>100</v>
      </c>
      <c r="J208" s="86" t="s">
        <v>270</v>
      </c>
      <c r="K208" s="138">
        <v>35</v>
      </c>
      <c r="L208" s="102" t="s">
        <v>227</v>
      </c>
      <c r="M208" s="98">
        <v>120</v>
      </c>
      <c r="N208" s="16" t="e">
        <f>S209</f>
        <v>#REF!</v>
      </c>
      <c r="O208" s="48" t="s">
        <v>1</v>
      </c>
      <c r="P208" s="29">
        <f>K210/35+M208/20</f>
        <v>6.1428571428571432</v>
      </c>
      <c r="Q208" s="8" t="s">
        <v>13</v>
      </c>
      <c r="R208" s="49" t="s">
        <v>14</v>
      </c>
      <c r="S208" s="50" t="e">
        <f>P214</f>
        <v>#REF!</v>
      </c>
      <c r="T208" s="51" t="s">
        <v>15</v>
      </c>
      <c r="U208" s="58"/>
      <c r="W208" s="16">
        <f>AB209</f>
        <v>118.125</v>
      </c>
      <c r="X208" s="48" t="s">
        <v>1</v>
      </c>
      <c r="Y208" s="7">
        <f>M208/20+G208*0.6/25</f>
        <v>7.2</v>
      </c>
      <c r="Z208" s="8" t="s">
        <v>13</v>
      </c>
      <c r="AA208" s="49" t="s">
        <v>14</v>
      </c>
      <c r="AB208" s="50">
        <f>Y214</f>
        <v>870.35595238095232</v>
      </c>
      <c r="AC208" s="51" t="s">
        <v>15</v>
      </c>
      <c r="AD208" s="58"/>
    </row>
    <row r="209" spans="1:30" ht="16.149999999999999" customHeight="1">
      <c r="A209" s="259"/>
      <c r="B209" s="55" t="s">
        <v>35</v>
      </c>
      <c r="C209" s="56">
        <v>0.4</v>
      </c>
      <c r="D209" s="65" t="s">
        <v>47</v>
      </c>
      <c r="E209" s="64">
        <v>10</v>
      </c>
      <c r="F209" s="65" t="s">
        <v>281</v>
      </c>
      <c r="G209" s="64">
        <v>0.5</v>
      </c>
      <c r="H209" s="115"/>
      <c r="I209" s="54"/>
      <c r="J209" s="65" t="s">
        <v>276</v>
      </c>
      <c r="K209" s="88">
        <v>5</v>
      </c>
      <c r="L209" s="104" t="s">
        <v>271</v>
      </c>
      <c r="M209" s="128">
        <v>15</v>
      </c>
      <c r="N209" s="25" t="s">
        <v>19</v>
      </c>
      <c r="O209" s="17" t="s">
        <v>2</v>
      </c>
      <c r="P209" s="18">
        <f>C208*0.68/40+G225/35+G226/35+E217/15+K211/60</f>
        <v>3.1014285714285714</v>
      </c>
      <c r="Q209" s="19" t="s">
        <v>13</v>
      </c>
      <c r="R209" s="20" t="s">
        <v>17</v>
      </c>
      <c r="S209" s="21" t="e">
        <f>P208*15+P210*5+P211*15+P212*12</f>
        <v>#REF!</v>
      </c>
      <c r="T209" s="19" t="s">
        <v>18</v>
      </c>
      <c r="U209" s="22" t="e">
        <f>S209*4/S208</f>
        <v>#REF!</v>
      </c>
      <c r="W209" s="25" t="s">
        <v>19</v>
      </c>
      <c r="X209" s="17" t="s">
        <v>2</v>
      </c>
      <c r="Y209" s="18">
        <f>C208*0.6/35+E211/40+M210/35+G208*0.4/25</f>
        <v>2.9464285714285712</v>
      </c>
      <c r="Z209" s="19" t="s">
        <v>13</v>
      </c>
      <c r="AA209" s="20" t="s">
        <v>17</v>
      </c>
      <c r="AB209" s="21">
        <f>Y208*15+Y210*5+Y211*15+Y212*12</f>
        <v>118.125</v>
      </c>
      <c r="AC209" s="19" t="s">
        <v>18</v>
      </c>
      <c r="AD209" s="22">
        <f>AB209*4/AB208</f>
        <v>0.54288133344458145</v>
      </c>
    </row>
    <row r="210" spans="1:30" ht="16.149999999999999" customHeight="1">
      <c r="A210" s="259"/>
      <c r="B210" s="23"/>
      <c r="C210" s="94"/>
      <c r="D210" s="65" t="s">
        <v>145</v>
      </c>
      <c r="E210" s="114">
        <v>8</v>
      </c>
      <c r="F210" s="104"/>
      <c r="G210" s="114"/>
      <c r="H210" s="115"/>
      <c r="I210" s="128"/>
      <c r="J210" s="65" t="s">
        <v>277</v>
      </c>
      <c r="K210" s="88">
        <v>5</v>
      </c>
      <c r="L210" s="104" t="s">
        <v>76</v>
      </c>
      <c r="M210" s="128">
        <v>8</v>
      </c>
      <c r="N210" s="16">
        <f>S210</f>
        <v>28.007142857142856</v>
      </c>
      <c r="O210" s="26" t="s">
        <v>20</v>
      </c>
      <c r="P210" s="18" t="e">
        <f>(G224+E216+#REF!+I208+K208+K209)/100</f>
        <v>#REF!</v>
      </c>
      <c r="Q210" s="19" t="s">
        <v>13</v>
      </c>
      <c r="R210" s="20" t="s">
        <v>21</v>
      </c>
      <c r="S210" s="21">
        <f>P209*5+P212*4+P213*5</f>
        <v>28.007142857142856</v>
      </c>
      <c r="T210" s="19" t="s">
        <v>18</v>
      </c>
      <c r="U210" s="22" t="e">
        <f>S210*9/S208</f>
        <v>#REF!</v>
      </c>
      <c r="W210" s="16">
        <f>AB210</f>
        <v>27.398809523809522</v>
      </c>
      <c r="X210" s="26" t="s">
        <v>20</v>
      </c>
      <c r="Y210" s="18">
        <f>(E208+I208+E209+M209+M211+E210+E212+G209)/100</f>
        <v>1.625</v>
      </c>
      <c r="Z210" s="19" t="s">
        <v>13</v>
      </c>
      <c r="AA210" s="20" t="s">
        <v>21</v>
      </c>
      <c r="AB210" s="21">
        <f>Y209*5+Y212*4+Y213*5</f>
        <v>27.398809523809522</v>
      </c>
      <c r="AC210" s="19" t="s">
        <v>18</v>
      </c>
      <c r="AD210" s="22">
        <f>AB210*9/AB208</f>
        <v>0.28332004283961543</v>
      </c>
    </row>
    <row r="211" spans="1:30" ht="16.149999999999999" customHeight="1">
      <c r="A211" s="259"/>
      <c r="C211" s="148"/>
      <c r="D211" s="65" t="s">
        <v>228</v>
      </c>
      <c r="E211" s="128">
        <v>15</v>
      </c>
      <c r="F211" s="31"/>
      <c r="G211" s="128"/>
      <c r="H211" s="115"/>
      <c r="I211" s="128"/>
      <c r="J211" s="99"/>
      <c r="K211" s="100"/>
      <c r="L211" s="104" t="s">
        <v>123</v>
      </c>
      <c r="M211" s="148">
        <v>1</v>
      </c>
      <c r="N211" s="25" t="s">
        <v>24</v>
      </c>
      <c r="O211" s="84" t="s">
        <v>22</v>
      </c>
      <c r="P211" s="29">
        <v>0</v>
      </c>
      <c r="Q211" s="19" t="s">
        <v>13</v>
      </c>
      <c r="R211" s="20" t="s">
        <v>23</v>
      </c>
      <c r="S211" s="21" t="e">
        <f>P208*2+P209*7+P210*1+P212*8</f>
        <v>#REF!</v>
      </c>
      <c r="T211" s="19" t="s">
        <v>18</v>
      </c>
      <c r="U211" s="22" t="e">
        <f>S211*4/S208</f>
        <v>#REF!</v>
      </c>
      <c r="W211" s="25" t="s">
        <v>24</v>
      </c>
      <c r="X211" s="28" t="s">
        <v>22</v>
      </c>
      <c r="Y211" s="29">
        <v>0</v>
      </c>
      <c r="Z211" s="19" t="s">
        <v>13</v>
      </c>
      <c r="AA211" s="20" t="s">
        <v>23</v>
      </c>
      <c r="AB211" s="21">
        <f>Y208*2+Y209*7+Y210*1+Y212*8</f>
        <v>37.983333333333334</v>
      </c>
      <c r="AC211" s="19" t="s">
        <v>18</v>
      </c>
      <c r="AD211" s="22">
        <f>AB211*4/AB208</f>
        <v>0.17456459385117476</v>
      </c>
    </row>
    <row r="212" spans="1:30" ht="16.149999999999999" customHeight="1">
      <c r="A212" s="259" t="s">
        <v>32</v>
      </c>
      <c r="B212" s="95"/>
      <c r="C212" s="94"/>
      <c r="D212" s="65" t="s">
        <v>54</v>
      </c>
      <c r="E212" s="88">
        <v>3</v>
      </c>
      <c r="F212" s="65"/>
      <c r="G212" s="88"/>
      <c r="H212" s="115"/>
      <c r="I212" s="128"/>
      <c r="J212" s="89"/>
      <c r="K212" s="88"/>
      <c r="L212" s="104"/>
      <c r="M212" s="154"/>
      <c r="N212" s="16" t="e">
        <f>S211</f>
        <v>#REF!</v>
      </c>
      <c r="O212" s="28" t="s">
        <v>3</v>
      </c>
      <c r="P212" s="29">
        <v>0</v>
      </c>
      <c r="Q212" s="19" t="s">
        <v>13</v>
      </c>
      <c r="R212" s="32"/>
      <c r="S212" s="32"/>
      <c r="T212" s="32"/>
      <c r="U212" s="33" t="e">
        <f>SUM(U209:U211)</f>
        <v>#REF!</v>
      </c>
      <c r="W212" s="16">
        <f>AB211</f>
        <v>37.983333333333334</v>
      </c>
      <c r="X212" s="28" t="s">
        <v>3</v>
      </c>
      <c r="Y212" s="29">
        <f>K209/30</f>
        <v>0.16666666666666666</v>
      </c>
      <c r="Z212" s="19" t="s">
        <v>13</v>
      </c>
      <c r="AA212" s="32"/>
      <c r="AB212" s="32"/>
      <c r="AC212" s="32"/>
      <c r="AD212" s="33">
        <f>SUM(AD209:AD211)</f>
        <v>1.0007659701353717</v>
      </c>
    </row>
    <row r="213" spans="1:30" ht="16.149999999999999" customHeight="1">
      <c r="A213" s="259"/>
      <c r="B213" s="95"/>
      <c r="C213" s="94"/>
      <c r="D213" s="65"/>
      <c r="E213" s="88"/>
      <c r="F213" s="65"/>
      <c r="G213" s="88"/>
      <c r="H213" s="12"/>
      <c r="I213" s="27"/>
      <c r="J213" s="133"/>
      <c r="K213" s="71"/>
      <c r="L213" s="23"/>
      <c r="M213" s="24"/>
      <c r="N213" s="25" t="s">
        <v>27</v>
      </c>
      <c r="O213" s="34" t="s">
        <v>26</v>
      </c>
      <c r="P213" s="29">
        <v>2.5</v>
      </c>
      <c r="Q213" s="19" t="s">
        <v>13</v>
      </c>
      <c r="R213" s="35"/>
      <c r="S213" s="35"/>
      <c r="T213" s="35"/>
      <c r="U213" s="36"/>
      <c r="W213" s="25" t="s">
        <v>27</v>
      </c>
      <c r="X213" s="34" t="s">
        <v>26</v>
      </c>
      <c r="Y213" s="29">
        <v>2.4</v>
      </c>
      <c r="Z213" s="19" t="s">
        <v>13</v>
      </c>
      <c r="AA213" s="35"/>
      <c r="AB213" s="35"/>
      <c r="AC213" s="35"/>
      <c r="AD213" s="36"/>
    </row>
    <row r="214" spans="1:30" ht="16.149999999999999" customHeight="1" thickBot="1">
      <c r="A214" s="260"/>
      <c r="B214" s="261" t="s">
        <v>114</v>
      </c>
      <c r="C214" s="262"/>
      <c r="D214" s="273" t="s">
        <v>99</v>
      </c>
      <c r="E214" s="262"/>
      <c r="F214" s="273" t="s">
        <v>99</v>
      </c>
      <c r="G214" s="262"/>
      <c r="H214" s="261" t="s">
        <v>101</v>
      </c>
      <c r="I214" s="262"/>
      <c r="J214" s="273" t="s">
        <v>102</v>
      </c>
      <c r="K214" s="262"/>
      <c r="L214" s="261" t="s">
        <v>102</v>
      </c>
      <c r="M214" s="262"/>
      <c r="N214" s="43" t="e">
        <f>P214</f>
        <v>#REF!</v>
      </c>
      <c r="O214" s="38" t="s">
        <v>28</v>
      </c>
      <c r="P214" s="39" t="e">
        <f>P208*68+P209*73+P210*24+P211*60+P212*112+P213*45</f>
        <v>#REF!</v>
      </c>
      <c r="Q214" s="40" t="s">
        <v>15</v>
      </c>
      <c r="R214" s="41"/>
      <c r="S214" s="41"/>
      <c r="T214" s="41"/>
      <c r="U214" s="42"/>
      <c r="W214" s="43">
        <f>Y214</f>
        <v>870.35595238095232</v>
      </c>
      <c r="X214" s="38" t="s">
        <v>28</v>
      </c>
      <c r="Y214" s="39">
        <f>Y208*68+Y209*73+Y210*24+Y211*60+Y212*112+Y213*45</f>
        <v>870.35595238095232</v>
      </c>
      <c r="Z214" s="40" t="s">
        <v>15</v>
      </c>
      <c r="AA214" s="41"/>
      <c r="AB214" s="41"/>
      <c r="AC214" s="41"/>
      <c r="AD214" s="42"/>
    </row>
    <row r="215" spans="1:30" ht="16.149999999999999" customHeight="1" thickBot="1">
      <c r="A215" s="263">
        <f>A207+1</f>
        <v>43916</v>
      </c>
      <c r="B215" s="266" t="s">
        <v>107</v>
      </c>
      <c r="C215" s="267"/>
      <c r="D215" s="268" t="s">
        <v>191</v>
      </c>
      <c r="E215" s="267"/>
      <c r="F215" s="268" t="s">
        <v>192</v>
      </c>
      <c r="G215" s="267"/>
      <c r="H215" s="264" t="s">
        <v>33</v>
      </c>
      <c r="I215" s="269"/>
      <c r="J215" s="268" t="s">
        <v>193</v>
      </c>
      <c r="K215" s="270"/>
      <c r="L215" s="276" t="s">
        <v>142</v>
      </c>
      <c r="M215" s="277"/>
      <c r="N215" s="5" t="s">
        <v>12</v>
      </c>
      <c r="O215" s="253" t="s">
        <v>29</v>
      </c>
      <c r="P215" s="254"/>
      <c r="Q215" s="255"/>
      <c r="R215" s="256" t="s">
        <v>30</v>
      </c>
      <c r="S215" s="257"/>
      <c r="T215" s="257"/>
      <c r="U215" s="258"/>
      <c r="W215" s="5" t="s">
        <v>12</v>
      </c>
      <c r="X215" s="253" t="s">
        <v>29</v>
      </c>
      <c r="Y215" s="254"/>
      <c r="Z215" s="255"/>
      <c r="AA215" s="256" t="s">
        <v>30</v>
      </c>
      <c r="AB215" s="257"/>
      <c r="AC215" s="257"/>
      <c r="AD215" s="258"/>
    </row>
    <row r="216" spans="1:30" ht="16.149999999999999" customHeight="1">
      <c r="A216" s="259"/>
      <c r="B216" s="108" t="s">
        <v>108</v>
      </c>
      <c r="C216" s="77">
        <v>60</v>
      </c>
      <c r="D216" s="57" t="s">
        <v>204</v>
      </c>
      <c r="E216" s="47">
        <v>50</v>
      </c>
      <c r="F216" s="110" t="s">
        <v>79</v>
      </c>
      <c r="G216" s="111">
        <v>40</v>
      </c>
      <c r="H216" s="93" t="s">
        <v>113</v>
      </c>
      <c r="I216" s="13">
        <v>100</v>
      </c>
      <c r="J216" s="23" t="s">
        <v>70</v>
      </c>
      <c r="K216" s="24">
        <v>20</v>
      </c>
      <c r="L216" s="61" t="s">
        <v>34</v>
      </c>
      <c r="M216" s="15">
        <v>140</v>
      </c>
      <c r="N216" s="16">
        <f>S217</f>
        <v>113.845</v>
      </c>
      <c r="O216" s="48" t="s">
        <v>1</v>
      </c>
      <c r="P216" s="29">
        <f>G211/35+M216/20</f>
        <v>7</v>
      </c>
      <c r="Q216" s="8" t="s">
        <v>13</v>
      </c>
      <c r="R216" s="49" t="s">
        <v>14</v>
      </c>
      <c r="S216" s="50" t="e">
        <f>P222</f>
        <v>#REF!</v>
      </c>
      <c r="T216" s="51" t="s">
        <v>15</v>
      </c>
      <c r="U216" s="52" t="s">
        <v>16</v>
      </c>
      <c r="W216" s="16">
        <f>AB217</f>
        <v>120.4357142857143</v>
      </c>
      <c r="X216" s="48" t="s">
        <v>1</v>
      </c>
      <c r="Y216" s="7">
        <f>M216/20+E217/90+G217/70</f>
        <v>7.4523809523809526</v>
      </c>
      <c r="Z216" s="8" t="s">
        <v>13</v>
      </c>
      <c r="AA216" s="49" t="s">
        <v>14</v>
      </c>
      <c r="AB216" s="50">
        <f>Y222</f>
        <v>869.68839826839826</v>
      </c>
      <c r="AC216" s="51" t="s">
        <v>15</v>
      </c>
      <c r="AD216" s="52" t="s">
        <v>16</v>
      </c>
    </row>
    <row r="217" spans="1:30" ht="16.149999999999999" customHeight="1">
      <c r="A217" s="259"/>
      <c r="B217" s="152" t="s">
        <v>35</v>
      </c>
      <c r="C217" s="109">
        <v>0</v>
      </c>
      <c r="D217" s="23" t="s">
        <v>61</v>
      </c>
      <c r="E217" s="126">
        <v>15</v>
      </c>
      <c r="F217" s="112" t="s">
        <v>230</v>
      </c>
      <c r="G217" s="91">
        <v>20</v>
      </c>
      <c r="H217" s="122"/>
      <c r="I217" s="63"/>
      <c r="J217" s="122" t="s">
        <v>53</v>
      </c>
      <c r="K217" s="94">
        <v>15</v>
      </c>
      <c r="L217" s="104"/>
      <c r="M217" s="128"/>
      <c r="N217" s="25" t="s">
        <v>19</v>
      </c>
      <c r="O217" s="17" t="s">
        <v>2</v>
      </c>
      <c r="P217" s="18" t="e">
        <f>C216/35+#REF!/80+#REF!/35</f>
        <v>#REF!</v>
      </c>
      <c r="Q217" s="19" t="s">
        <v>13</v>
      </c>
      <c r="R217" s="20" t="s">
        <v>17</v>
      </c>
      <c r="S217" s="21">
        <f>P216*15+P218*5+P219*15+P220*12</f>
        <v>113.845</v>
      </c>
      <c r="T217" s="19" t="s">
        <v>18</v>
      </c>
      <c r="U217" s="22" t="e">
        <f>S217*4/S216</f>
        <v>#REF!</v>
      </c>
      <c r="W217" s="25" t="s">
        <v>19</v>
      </c>
      <c r="X217" s="17" t="s">
        <v>2</v>
      </c>
      <c r="Y217" s="18">
        <f>C216/35+E216/55+K217*0.6/30</f>
        <v>2.923376623376623</v>
      </c>
      <c r="Z217" s="19" t="s">
        <v>13</v>
      </c>
      <c r="AA217" s="20" t="s">
        <v>17</v>
      </c>
      <c r="AB217" s="21">
        <f>Y216*15+Y218*5+Y219*15+Y220*12</f>
        <v>120.4357142857143</v>
      </c>
      <c r="AC217" s="19" t="s">
        <v>18</v>
      </c>
      <c r="AD217" s="22">
        <f>AB217*4/AB216</f>
        <v>0.55392581768600813</v>
      </c>
    </row>
    <row r="218" spans="1:30" ht="16.149999999999999" customHeight="1">
      <c r="A218" s="259"/>
      <c r="B218" s="23" t="s">
        <v>82</v>
      </c>
      <c r="C218" s="24">
        <v>1</v>
      </c>
      <c r="D218" s="104" t="s">
        <v>145</v>
      </c>
      <c r="E218" s="126">
        <v>3</v>
      </c>
      <c r="F218" s="104" t="s">
        <v>145</v>
      </c>
      <c r="G218" s="126">
        <v>3</v>
      </c>
      <c r="H218" s="37"/>
      <c r="I218" s="126"/>
      <c r="J218" s="123" t="s">
        <v>35</v>
      </c>
      <c r="K218" s="107">
        <v>0.4</v>
      </c>
      <c r="L218" s="115"/>
      <c r="M218" s="128"/>
      <c r="N218" s="16" t="e">
        <f>S218</f>
        <v>#REF!</v>
      </c>
      <c r="O218" s="26" t="s">
        <v>20</v>
      </c>
      <c r="P218" s="18">
        <f>(G208+G209+G210+E219+I216+K200+K201+K202)/100</f>
        <v>1.7690000000000001</v>
      </c>
      <c r="Q218" s="19" t="s">
        <v>13</v>
      </c>
      <c r="R218" s="20" t="s">
        <v>21</v>
      </c>
      <c r="S218" s="21" t="e">
        <f>P217*5+P220*4+P221*5</f>
        <v>#REF!</v>
      </c>
      <c r="T218" s="19" t="s">
        <v>18</v>
      </c>
      <c r="U218" s="22" t="e">
        <f>S218*9/S216</f>
        <v>#REF!</v>
      </c>
      <c r="W218" s="16">
        <f>AB218</f>
        <v>26.616883116883116</v>
      </c>
      <c r="X218" s="26" t="s">
        <v>20</v>
      </c>
      <c r="Y218" s="18">
        <f>(G216+E219+I216+K216+G218+E218+C218+K219)/100</f>
        <v>1.73</v>
      </c>
      <c r="Z218" s="19" t="s">
        <v>13</v>
      </c>
      <c r="AA218" s="20" t="s">
        <v>21</v>
      </c>
      <c r="AB218" s="21">
        <f>Y217*5+Y220*4+Y221*5</f>
        <v>26.616883116883116</v>
      </c>
      <c r="AC218" s="19" t="s">
        <v>18</v>
      </c>
      <c r="AD218" s="22">
        <f>AB218*9/AB216</f>
        <v>0.2754457211673863</v>
      </c>
    </row>
    <row r="219" spans="1:30" ht="16.149999999999999" customHeight="1">
      <c r="A219" s="259"/>
      <c r="B219" s="23"/>
      <c r="C219" s="24"/>
      <c r="D219" s="121" t="s">
        <v>54</v>
      </c>
      <c r="E219" s="30">
        <v>5</v>
      </c>
      <c r="F219" s="23"/>
      <c r="G219" s="126"/>
      <c r="H219" s="105"/>
      <c r="I219" s="94"/>
      <c r="J219" s="122" t="s">
        <v>87</v>
      </c>
      <c r="K219" s="94">
        <v>1</v>
      </c>
      <c r="L219" s="101"/>
      <c r="M219" s="100"/>
      <c r="N219" s="25" t="s">
        <v>24</v>
      </c>
      <c r="O219" s="84" t="s">
        <v>22</v>
      </c>
      <c r="P219" s="29">
        <v>0</v>
      </c>
      <c r="Q219" s="19" t="s">
        <v>13</v>
      </c>
      <c r="R219" s="20" t="s">
        <v>23</v>
      </c>
      <c r="S219" s="21" t="e">
        <f>P216*2+P217*7+P218*1+P220*8</f>
        <v>#REF!</v>
      </c>
      <c r="T219" s="19" t="s">
        <v>18</v>
      </c>
      <c r="U219" s="22" t="e">
        <f>S219*4/S216</f>
        <v>#REF!</v>
      </c>
      <c r="W219" s="25" t="s">
        <v>24</v>
      </c>
      <c r="X219" s="28" t="s">
        <v>22</v>
      </c>
      <c r="Y219" s="29">
        <v>0</v>
      </c>
      <c r="Z219" s="19" t="s">
        <v>13</v>
      </c>
      <c r="AA219" s="20" t="s">
        <v>23</v>
      </c>
      <c r="AB219" s="21">
        <f>Y216*2+Y217*7+Y218*1+Y220*8</f>
        <v>37.098398268398263</v>
      </c>
      <c r="AC219" s="19" t="s">
        <v>18</v>
      </c>
      <c r="AD219" s="22">
        <f>AB219*4/AB216</f>
        <v>0.1706284611466056</v>
      </c>
    </row>
    <row r="220" spans="1:30" ht="16.149999999999999" customHeight="1">
      <c r="A220" s="259" t="s">
        <v>36</v>
      </c>
      <c r="B220" s="101"/>
      <c r="C220" s="100"/>
      <c r="D220" s="134"/>
      <c r="E220" s="160"/>
      <c r="F220" s="23"/>
      <c r="G220" s="24"/>
      <c r="H220" s="99"/>
      <c r="I220" s="137"/>
      <c r="J220" s="122"/>
      <c r="K220" s="94"/>
      <c r="L220" s="115"/>
      <c r="M220" s="128"/>
      <c r="N220" s="16" t="e">
        <f>S219</f>
        <v>#REF!</v>
      </c>
      <c r="O220" s="28" t="s">
        <v>3</v>
      </c>
      <c r="P220" s="29">
        <v>0</v>
      </c>
      <c r="Q220" s="19" t="s">
        <v>13</v>
      </c>
      <c r="R220" s="32"/>
      <c r="S220" s="32"/>
      <c r="T220" s="32"/>
      <c r="U220" s="33" t="e">
        <f>SUM(U217:U219)</f>
        <v>#REF!</v>
      </c>
      <c r="W220" s="16">
        <f>AB219</f>
        <v>37.098398268398263</v>
      </c>
      <c r="X220" s="28" t="s">
        <v>3</v>
      </c>
      <c r="Y220" s="29">
        <v>0</v>
      </c>
      <c r="Z220" s="19" t="s">
        <v>13</v>
      </c>
      <c r="AA220" s="32"/>
      <c r="AB220" s="32"/>
      <c r="AC220" s="32"/>
      <c r="AD220" s="33">
        <f>SUM(AD217:AD219)</f>
        <v>1</v>
      </c>
    </row>
    <row r="221" spans="1:30" ht="16.149999999999999" customHeight="1">
      <c r="A221" s="259"/>
      <c r="B221" s="101"/>
      <c r="C221" s="100"/>
      <c r="D221" s="95"/>
      <c r="E221" s="120"/>
      <c r="F221" s="12"/>
      <c r="G221" s="126"/>
      <c r="H221" s="99"/>
      <c r="I221" s="137"/>
      <c r="J221" s="55"/>
      <c r="K221" s="79"/>
      <c r="L221" s="115"/>
      <c r="M221" s="128"/>
      <c r="N221" s="25" t="s">
        <v>27</v>
      </c>
      <c r="O221" s="34" t="s">
        <v>26</v>
      </c>
      <c r="P221" s="29">
        <v>2.5</v>
      </c>
      <c r="Q221" s="19" t="s">
        <v>13</v>
      </c>
      <c r="R221" s="35"/>
      <c r="S221" s="35"/>
      <c r="T221" s="35"/>
      <c r="U221" s="36"/>
      <c r="W221" s="25" t="s">
        <v>27</v>
      </c>
      <c r="X221" s="34" t="s">
        <v>26</v>
      </c>
      <c r="Y221" s="29">
        <v>2.4</v>
      </c>
      <c r="Z221" s="19" t="s">
        <v>13</v>
      </c>
      <c r="AA221" s="35"/>
      <c r="AB221" s="35"/>
      <c r="AC221" s="35"/>
      <c r="AD221" s="36"/>
    </row>
    <row r="222" spans="1:30" ht="16.149999999999999" customHeight="1" thickBot="1">
      <c r="A222" s="260"/>
      <c r="B222" s="261" t="s">
        <v>100</v>
      </c>
      <c r="C222" s="262"/>
      <c r="D222" s="261" t="s">
        <v>102</v>
      </c>
      <c r="E222" s="262"/>
      <c r="F222" s="261" t="s">
        <v>99</v>
      </c>
      <c r="G222" s="262"/>
      <c r="H222" s="273" t="s">
        <v>101</v>
      </c>
      <c r="I222" s="262"/>
      <c r="J222" s="261" t="s">
        <v>102</v>
      </c>
      <c r="K222" s="262"/>
      <c r="L222" s="261" t="s">
        <v>103</v>
      </c>
      <c r="M222" s="262"/>
      <c r="N222" s="43" t="e">
        <f>P222</f>
        <v>#REF!</v>
      </c>
      <c r="O222" s="38" t="s">
        <v>28</v>
      </c>
      <c r="P222" s="39" t="e">
        <f>P216*68+P217*73+P218*24+P219*60+P220*112+P221*45</f>
        <v>#REF!</v>
      </c>
      <c r="Q222" s="40" t="s">
        <v>15</v>
      </c>
      <c r="R222" s="41"/>
      <c r="S222" s="41"/>
      <c r="T222" s="41"/>
      <c r="U222" s="42"/>
      <c r="W222" s="43">
        <f>Y222</f>
        <v>869.68839826839826</v>
      </c>
      <c r="X222" s="38" t="s">
        <v>28</v>
      </c>
      <c r="Y222" s="39">
        <f>Y216*68+Y217*73+Y218*24+Y219*60+Y220*112+Y221*45</f>
        <v>869.68839826839826</v>
      </c>
      <c r="Z222" s="40" t="s">
        <v>15</v>
      </c>
      <c r="AA222" s="41"/>
      <c r="AB222" s="41"/>
      <c r="AC222" s="41"/>
      <c r="AD222" s="42"/>
    </row>
    <row r="223" spans="1:30" ht="16.149999999999999" customHeight="1" thickBot="1">
      <c r="A223" s="263">
        <f>A215+1</f>
        <v>43917</v>
      </c>
      <c r="B223" s="264" t="s">
        <v>254</v>
      </c>
      <c r="C223" s="269"/>
      <c r="D223" s="268" t="s">
        <v>194</v>
      </c>
      <c r="E223" s="267"/>
      <c r="F223" s="268" t="s">
        <v>255</v>
      </c>
      <c r="G223" s="267"/>
      <c r="H223" s="264" t="s">
        <v>37</v>
      </c>
      <c r="I223" s="269"/>
      <c r="J223" s="264" t="s">
        <v>195</v>
      </c>
      <c r="K223" s="269"/>
      <c r="L223" s="276" t="s">
        <v>142</v>
      </c>
      <c r="M223" s="277"/>
      <c r="N223" s="5" t="s">
        <v>12</v>
      </c>
      <c r="O223" s="253" t="s">
        <v>29</v>
      </c>
      <c r="P223" s="254"/>
      <c r="Q223" s="255"/>
      <c r="R223" s="256" t="s">
        <v>30</v>
      </c>
      <c r="S223" s="257"/>
      <c r="T223" s="257"/>
      <c r="U223" s="258"/>
      <c r="W223" s="5" t="s">
        <v>12</v>
      </c>
      <c r="X223" s="253" t="s">
        <v>29</v>
      </c>
      <c r="Y223" s="254"/>
      <c r="Z223" s="255"/>
      <c r="AA223" s="256" t="s">
        <v>30</v>
      </c>
      <c r="AB223" s="257"/>
      <c r="AC223" s="257"/>
      <c r="AD223" s="258"/>
    </row>
    <row r="224" spans="1:30" ht="16.149999999999999" customHeight="1">
      <c r="A224" s="259"/>
      <c r="B224" s="23" t="s">
        <v>53</v>
      </c>
      <c r="C224" s="24">
        <v>90</v>
      </c>
      <c r="D224" s="65" t="s">
        <v>256</v>
      </c>
      <c r="E224" s="128">
        <v>40</v>
      </c>
      <c r="F224" s="61" t="s">
        <v>66</v>
      </c>
      <c r="G224" s="15">
        <v>30</v>
      </c>
      <c r="H224" s="57" t="s">
        <v>45</v>
      </c>
      <c r="I224" s="47">
        <v>100</v>
      </c>
      <c r="J224" s="149" t="s">
        <v>253</v>
      </c>
      <c r="K224" s="15">
        <v>10</v>
      </c>
      <c r="L224" s="61" t="s">
        <v>34</v>
      </c>
      <c r="M224" s="15">
        <v>150</v>
      </c>
      <c r="N224" s="16" t="e">
        <f>S225</f>
        <v>#REF!</v>
      </c>
      <c r="O224" s="48" t="s">
        <v>1</v>
      </c>
      <c r="P224" s="29">
        <f>G229/55+M224/20+M225/20</f>
        <v>7.5</v>
      </c>
      <c r="Q224" s="8" t="s">
        <v>13</v>
      </c>
      <c r="R224" s="49" t="s">
        <v>14</v>
      </c>
      <c r="S224" s="50" t="e">
        <f>P230</f>
        <v>#REF!</v>
      </c>
      <c r="T224" s="51" t="s">
        <v>15</v>
      </c>
      <c r="U224" s="58"/>
      <c r="W224" s="16">
        <f>AB225</f>
        <v>121.05</v>
      </c>
      <c r="X224" s="48" t="s">
        <v>1</v>
      </c>
      <c r="Y224" s="29">
        <f>M224/20</f>
        <v>7.5</v>
      </c>
      <c r="Z224" s="8" t="s">
        <v>13</v>
      </c>
      <c r="AA224" s="49" t="s">
        <v>14</v>
      </c>
      <c r="AB224" s="50">
        <f>Y230</f>
        <v>875.1484415584415</v>
      </c>
      <c r="AC224" s="51" t="s">
        <v>15</v>
      </c>
      <c r="AD224" s="58"/>
    </row>
    <row r="225" spans="1:30" ht="16.149999999999999" customHeight="1">
      <c r="A225" s="259"/>
      <c r="B225" s="106" t="s">
        <v>35</v>
      </c>
      <c r="C225" s="107">
        <v>0.4</v>
      </c>
      <c r="D225" s="65" t="s">
        <v>56</v>
      </c>
      <c r="E225" s="128">
        <v>5</v>
      </c>
      <c r="F225" s="23" t="s">
        <v>65</v>
      </c>
      <c r="G225" s="126">
        <v>10</v>
      </c>
      <c r="H225" s="23"/>
      <c r="I225" s="126"/>
      <c r="J225" s="31" t="s">
        <v>51</v>
      </c>
      <c r="K225" s="128">
        <v>10</v>
      </c>
      <c r="L225" s="104"/>
      <c r="M225" s="128"/>
      <c r="N225" s="25" t="s">
        <v>19</v>
      </c>
      <c r="O225" s="17" t="s">
        <v>2</v>
      </c>
      <c r="P225" s="18" t="e">
        <f>C224*0.58/40+E226/55+#REF!*0.52/35+#REF!/80</f>
        <v>#REF!</v>
      </c>
      <c r="Q225" s="19" t="s">
        <v>13</v>
      </c>
      <c r="R225" s="20" t="s">
        <v>17</v>
      </c>
      <c r="S225" s="21" t="e">
        <f>P224*15+P226*5+P227*15+P228*12</f>
        <v>#REF!</v>
      </c>
      <c r="T225" s="19" t="s">
        <v>18</v>
      </c>
      <c r="U225" s="22" t="e">
        <f>S225*4/S224</f>
        <v>#REF!</v>
      </c>
      <c r="W225" s="25" t="s">
        <v>19</v>
      </c>
      <c r="X225" s="17" t="s">
        <v>2</v>
      </c>
      <c r="Y225" s="18">
        <f>C224*0.6/40+G226/35+K225/55+E224/35</f>
        <v>2.9603896103896101</v>
      </c>
      <c r="Z225" s="19" t="s">
        <v>13</v>
      </c>
      <c r="AA225" s="20" t="s">
        <v>17</v>
      </c>
      <c r="AB225" s="21">
        <f>Y224*15+Y226*5+Y227*15+Y228*12</f>
        <v>121.05</v>
      </c>
      <c r="AC225" s="19" t="s">
        <v>18</v>
      </c>
      <c r="AD225" s="22">
        <f>AB225*4/AB224</f>
        <v>0.55327756641804593</v>
      </c>
    </row>
    <row r="226" spans="1:30" ht="16.149999999999999" customHeight="1">
      <c r="A226" s="259"/>
      <c r="B226" s="23" t="s">
        <v>78</v>
      </c>
      <c r="C226" s="24">
        <v>10</v>
      </c>
      <c r="D226" s="104"/>
      <c r="E226" s="126"/>
      <c r="F226" s="104" t="s">
        <v>69</v>
      </c>
      <c r="G226" s="126">
        <v>10</v>
      </c>
      <c r="H226" s="23"/>
      <c r="I226" s="126"/>
      <c r="J226" s="67" t="s">
        <v>56</v>
      </c>
      <c r="K226" s="24">
        <v>1</v>
      </c>
      <c r="L226" s="115"/>
      <c r="M226" s="128"/>
      <c r="N226" s="16" t="e">
        <f>S226</f>
        <v>#REF!</v>
      </c>
      <c r="O226" s="26" t="s">
        <v>20</v>
      </c>
      <c r="P226" s="18" t="e">
        <f>(E224+E225+E226+E227+#REF!+#REF!+I224+#REF!+#REF!)/100</f>
        <v>#REF!</v>
      </c>
      <c r="Q226" s="19" t="s">
        <v>13</v>
      </c>
      <c r="R226" s="20" t="s">
        <v>21</v>
      </c>
      <c r="S226" s="21" t="e">
        <f>P225*5+P228*4+P229*5</f>
        <v>#REF!</v>
      </c>
      <c r="T226" s="19" t="s">
        <v>18</v>
      </c>
      <c r="U226" s="22" t="e">
        <f>S226*9/S224</f>
        <v>#REF!</v>
      </c>
      <c r="W226" s="16">
        <f>AB226</f>
        <v>26.801948051948052</v>
      </c>
      <c r="X226" s="26" t="s">
        <v>20</v>
      </c>
      <c r="Y226" s="18">
        <f>(E225+G225+G224+K224+C227+I224+K226+C226)/100</f>
        <v>1.71</v>
      </c>
      <c r="Z226" s="19" t="s">
        <v>13</v>
      </c>
      <c r="AA226" s="20" t="s">
        <v>21</v>
      </c>
      <c r="AB226" s="21">
        <f>Y225*5+Y228*4+Y229*5</f>
        <v>26.801948051948052</v>
      </c>
      <c r="AC226" s="19" t="s">
        <v>18</v>
      </c>
      <c r="AD226" s="22">
        <f>AB226*9/AB224</f>
        <v>0.27563041995250381</v>
      </c>
    </row>
    <row r="227" spans="1:30" ht="16.149999999999999" customHeight="1">
      <c r="A227" s="259"/>
      <c r="B227" s="23" t="s">
        <v>47</v>
      </c>
      <c r="C227" s="24">
        <v>5</v>
      </c>
      <c r="D227" s="104"/>
      <c r="E227" s="128"/>
      <c r="F227" s="104"/>
      <c r="G227" s="128"/>
      <c r="H227" s="12"/>
      <c r="I227" s="126"/>
      <c r="J227" s="31"/>
      <c r="K227" s="126"/>
      <c r="L227" s="101"/>
      <c r="M227" s="100"/>
      <c r="N227" s="25" t="s">
        <v>24</v>
      </c>
      <c r="O227" s="84" t="s">
        <v>22</v>
      </c>
      <c r="P227" s="29">
        <v>0</v>
      </c>
      <c r="Q227" s="19" t="s">
        <v>13</v>
      </c>
      <c r="R227" s="20" t="s">
        <v>23</v>
      </c>
      <c r="S227" s="21" t="e">
        <f>P224*2+P225*7+P226*1+P228*8</f>
        <v>#REF!</v>
      </c>
      <c r="T227" s="19" t="s">
        <v>18</v>
      </c>
      <c r="U227" s="22" t="e">
        <f>S227*4/S224</f>
        <v>#REF!</v>
      </c>
      <c r="W227" s="25" t="s">
        <v>24</v>
      </c>
      <c r="X227" s="28" t="s">
        <v>22</v>
      </c>
      <c r="Y227" s="29">
        <v>0</v>
      </c>
      <c r="Z227" s="19" t="s">
        <v>13</v>
      </c>
      <c r="AA227" s="20" t="s">
        <v>23</v>
      </c>
      <c r="AB227" s="21">
        <f>Y224*2+Y225*7+Y226*1+Y228*8</f>
        <v>37.43272727272727</v>
      </c>
      <c r="AC227" s="19" t="s">
        <v>18</v>
      </c>
      <c r="AD227" s="22">
        <f>AB227*4/AB224</f>
        <v>0.17109201362945031</v>
      </c>
    </row>
    <row r="228" spans="1:30" ht="16.149999999999999" customHeight="1">
      <c r="A228" s="259" t="s">
        <v>38</v>
      </c>
      <c r="B228" s="104"/>
      <c r="C228" s="128"/>
      <c r="D228" s="104"/>
      <c r="E228" s="128"/>
      <c r="F228" s="104"/>
      <c r="G228" s="128"/>
      <c r="H228" s="12"/>
      <c r="I228" s="126"/>
      <c r="J228" s="78"/>
      <c r="K228" s="71"/>
      <c r="L228" s="115"/>
      <c r="M228" s="128"/>
      <c r="N228" s="16" t="e">
        <f>S227</f>
        <v>#REF!</v>
      </c>
      <c r="O228" s="28" t="s">
        <v>3</v>
      </c>
      <c r="P228" s="29">
        <v>0</v>
      </c>
      <c r="Q228" s="19" t="s">
        <v>13</v>
      </c>
      <c r="R228" s="32"/>
      <c r="S228" s="32"/>
      <c r="T228" s="32"/>
      <c r="U228" s="33" t="e">
        <f>SUM(U225:U227)</f>
        <v>#REF!</v>
      </c>
      <c r="W228" s="16">
        <f>AB227</f>
        <v>37.43272727272727</v>
      </c>
      <c r="X228" s="28" t="s">
        <v>3</v>
      </c>
      <c r="Y228" s="29">
        <v>0</v>
      </c>
      <c r="Z228" s="19" t="s">
        <v>13</v>
      </c>
      <c r="AA228" s="32"/>
      <c r="AB228" s="32"/>
      <c r="AC228" s="32"/>
      <c r="AD228" s="33">
        <f>SUM(AD225:AD227)</f>
        <v>1</v>
      </c>
    </row>
    <row r="229" spans="1:30" ht="16.149999999999999" customHeight="1">
      <c r="A229" s="259"/>
      <c r="B229" s="115"/>
      <c r="C229" s="128"/>
      <c r="D229" s="12"/>
      <c r="E229" s="126"/>
      <c r="F229" s="12"/>
      <c r="G229" s="126"/>
      <c r="H229" s="73"/>
      <c r="I229" s="71"/>
      <c r="J229" s="55"/>
      <c r="K229" s="63"/>
      <c r="L229" s="115"/>
      <c r="M229" s="128"/>
      <c r="N229" s="25" t="s">
        <v>27</v>
      </c>
      <c r="O229" s="34" t="s">
        <v>26</v>
      </c>
      <c r="P229" s="29">
        <v>2.5</v>
      </c>
      <c r="Q229" s="19" t="s">
        <v>13</v>
      </c>
      <c r="R229" s="35"/>
      <c r="S229" s="35"/>
      <c r="T229" s="35"/>
      <c r="U229" s="36"/>
      <c r="W229" s="25" t="s">
        <v>27</v>
      </c>
      <c r="X229" s="34" t="s">
        <v>26</v>
      </c>
      <c r="Y229" s="29">
        <v>2.4</v>
      </c>
      <c r="Z229" s="19" t="s">
        <v>13</v>
      </c>
      <c r="AA229" s="35"/>
      <c r="AB229" s="35"/>
      <c r="AC229" s="35"/>
      <c r="AD229" s="36"/>
    </row>
    <row r="230" spans="1:30" ht="16.149999999999999" customHeight="1" thickBot="1">
      <c r="A230" s="260"/>
      <c r="B230" s="261" t="s">
        <v>102</v>
      </c>
      <c r="C230" s="262"/>
      <c r="D230" s="261" t="s">
        <v>102</v>
      </c>
      <c r="E230" s="262"/>
      <c r="F230" s="261" t="s">
        <v>99</v>
      </c>
      <c r="G230" s="262"/>
      <c r="H230" s="261" t="s">
        <v>101</v>
      </c>
      <c r="I230" s="262"/>
      <c r="J230" s="261" t="s">
        <v>102</v>
      </c>
      <c r="K230" s="262"/>
      <c r="L230" s="261" t="s">
        <v>103</v>
      </c>
      <c r="M230" s="262"/>
      <c r="N230" s="43" t="e">
        <f>P230</f>
        <v>#REF!</v>
      </c>
      <c r="O230" s="38" t="s">
        <v>28</v>
      </c>
      <c r="P230" s="39" t="e">
        <f>P224*68+P225*73+P226*24+P227*60+P228*112+P229*45</f>
        <v>#REF!</v>
      </c>
      <c r="Q230" s="40" t="s">
        <v>15</v>
      </c>
      <c r="R230" s="41"/>
      <c r="S230" s="41"/>
      <c r="T230" s="41"/>
      <c r="U230" s="42"/>
      <c r="W230" s="43">
        <f>Y230</f>
        <v>875.1484415584415</v>
      </c>
      <c r="X230" s="38" t="s">
        <v>28</v>
      </c>
      <c r="Y230" s="39">
        <f>Y224*68+Y225*73+Y226*24+Y227*60+Y228*112+Y229*45</f>
        <v>875.1484415584415</v>
      </c>
      <c r="Z230" s="40" t="s">
        <v>15</v>
      </c>
      <c r="AA230" s="41"/>
      <c r="AB230" s="41"/>
      <c r="AC230" s="41"/>
      <c r="AD230" s="42"/>
    </row>
    <row r="231" spans="1:30">
      <c r="A231" s="247" t="s">
        <v>39</v>
      </c>
      <c r="B231" s="248"/>
      <c r="C231" s="248"/>
      <c r="D231" s="248"/>
      <c r="E231" s="248"/>
      <c r="F231" s="248"/>
      <c r="G231" s="248"/>
      <c r="H231" s="248"/>
      <c r="I231" s="248"/>
      <c r="J231" s="248"/>
      <c r="K231" s="248"/>
      <c r="L231" s="248"/>
      <c r="M231" s="248"/>
    </row>
    <row r="232" spans="1:30" ht="16.149999999999999" customHeight="1">
      <c r="A232" s="249" t="s">
        <v>40</v>
      </c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</row>
    <row r="233" spans="1:30">
      <c r="A233" s="250" t="s">
        <v>41</v>
      </c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</row>
    <row r="234" spans="1:30" ht="16.149999999999999" customHeight="1">
      <c r="A234" s="251" t="s">
        <v>42</v>
      </c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</row>
    <row r="235" spans="1:30">
      <c r="A235" s="252" t="s">
        <v>43</v>
      </c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</row>
    <row r="236" spans="1:30" ht="22.6" thickBot="1">
      <c r="A236" s="279" t="s">
        <v>257</v>
      </c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</row>
    <row r="237" spans="1:30" ht="32.799999999999997" thickBot="1">
      <c r="A237" s="74" t="s">
        <v>4</v>
      </c>
      <c r="B237" s="75" t="s">
        <v>5</v>
      </c>
      <c r="C237" s="4" t="s">
        <v>6</v>
      </c>
      <c r="D237" s="75" t="s">
        <v>7</v>
      </c>
      <c r="E237" s="4" t="s">
        <v>6</v>
      </c>
      <c r="F237" s="75" t="s">
        <v>7</v>
      </c>
      <c r="G237" s="4" t="s">
        <v>6</v>
      </c>
      <c r="H237" s="75" t="s">
        <v>7</v>
      </c>
      <c r="I237" s="4" t="s">
        <v>6</v>
      </c>
      <c r="J237" s="75" t="s">
        <v>8</v>
      </c>
      <c r="K237" s="4" t="s">
        <v>6</v>
      </c>
      <c r="L237" s="75" t="s">
        <v>9</v>
      </c>
      <c r="M237" s="4" t="s">
        <v>6</v>
      </c>
      <c r="N237" s="4" t="s">
        <v>10</v>
      </c>
      <c r="O237" s="280" t="s">
        <v>11</v>
      </c>
      <c r="P237" s="281"/>
      <c r="Q237" s="281"/>
      <c r="R237" s="281"/>
      <c r="S237" s="281"/>
      <c r="T237" s="281"/>
      <c r="U237" s="282"/>
      <c r="W237" s="4" t="s">
        <v>10</v>
      </c>
      <c r="X237" s="280" t="s">
        <v>11</v>
      </c>
      <c r="Y237" s="281"/>
      <c r="Z237" s="281"/>
      <c r="AA237" s="281"/>
      <c r="AB237" s="281"/>
      <c r="AC237" s="281"/>
      <c r="AD237" s="282"/>
    </row>
    <row r="238" spans="1:30" ht="16.149999999999999" thickBot="1">
      <c r="A238" s="263">
        <f>A223+3</f>
        <v>43920</v>
      </c>
      <c r="B238" s="268" t="s">
        <v>196</v>
      </c>
      <c r="C238" s="267"/>
      <c r="D238" s="278" t="s">
        <v>197</v>
      </c>
      <c r="E238" s="267"/>
      <c r="F238" s="264" t="s">
        <v>198</v>
      </c>
      <c r="G238" s="269"/>
      <c r="H238" s="268" t="s">
        <v>44</v>
      </c>
      <c r="I238" s="272"/>
      <c r="J238" s="268" t="s">
        <v>199</v>
      </c>
      <c r="K238" s="283"/>
      <c r="L238" s="276" t="s">
        <v>142</v>
      </c>
      <c r="M238" s="277"/>
      <c r="N238" s="5" t="s">
        <v>12</v>
      </c>
      <c r="O238" s="48" t="s">
        <v>1</v>
      </c>
      <c r="P238" s="7">
        <f>C239/65+G239/55+G240/90+K239/20+M239/20+M240/20</f>
        <v>9.7637140637140636</v>
      </c>
      <c r="Q238" s="8" t="s">
        <v>13</v>
      </c>
      <c r="R238" s="9" t="s">
        <v>14</v>
      </c>
      <c r="S238" s="10">
        <f>P244</f>
        <v>877.09141347541345</v>
      </c>
      <c r="T238" s="8" t="s">
        <v>15</v>
      </c>
      <c r="U238" s="11" t="s">
        <v>16</v>
      </c>
      <c r="W238" s="5" t="s">
        <v>12</v>
      </c>
      <c r="X238" s="253" t="s">
        <v>29</v>
      </c>
      <c r="Y238" s="254"/>
      <c r="Z238" s="255"/>
      <c r="AA238" s="256" t="s">
        <v>30</v>
      </c>
      <c r="AB238" s="257"/>
      <c r="AC238" s="257"/>
      <c r="AD238" s="258"/>
    </row>
    <row r="239" spans="1:30">
      <c r="A239" s="259"/>
      <c r="B239" s="104" t="s">
        <v>62</v>
      </c>
      <c r="C239" s="126">
        <v>100</v>
      </c>
      <c r="D239" s="65" t="s">
        <v>220</v>
      </c>
      <c r="E239" s="128">
        <v>35</v>
      </c>
      <c r="F239" s="93" t="s">
        <v>59</v>
      </c>
      <c r="G239" s="77">
        <v>35</v>
      </c>
      <c r="H239" s="110" t="s">
        <v>57</v>
      </c>
      <c r="I239" s="76">
        <v>100</v>
      </c>
      <c r="J239" s="61" t="s">
        <v>258</v>
      </c>
      <c r="K239" s="70">
        <v>20</v>
      </c>
      <c r="L239" s="61" t="s">
        <v>34</v>
      </c>
      <c r="M239" s="15">
        <v>130</v>
      </c>
      <c r="N239" s="16">
        <f>S239</f>
        <v>152.00071095571093</v>
      </c>
      <c r="O239" s="17" t="s">
        <v>2</v>
      </c>
      <c r="P239" s="18">
        <f>C241/55+E239/50+E240/35+K242/35</f>
        <v>1.0142857142857142</v>
      </c>
      <c r="Q239" s="19" t="s">
        <v>13</v>
      </c>
      <c r="R239" s="20" t="s">
        <v>17</v>
      </c>
      <c r="S239" s="21">
        <f>P238*15+P240*5+P241*15+P242*12</f>
        <v>152.00071095571093</v>
      </c>
      <c r="T239" s="19" t="s">
        <v>18</v>
      </c>
      <c r="U239" s="22">
        <f>S239*4/S238</f>
        <v>0.6932035070479996</v>
      </c>
      <c r="W239" s="16">
        <f>AB240</f>
        <v>123.08181818181819</v>
      </c>
      <c r="X239" s="6" t="s">
        <v>1</v>
      </c>
      <c r="Y239" s="7">
        <f>M239/20+G241/55+K239/20</f>
        <v>7.6454545454545455</v>
      </c>
      <c r="Z239" s="8" t="s">
        <v>13</v>
      </c>
      <c r="AA239" s="9" t="s">
        <v>14</v>
      </c>
      <c r="AB239" s="10">
        <f>Y245</f>
        <v>881.79911255411264</v>
      </c>
      <c r="AC239" s="8" t="s">
        <v>15</v>
      </c>
      <c r="AD239" s="11" t="s">
        <v>16</v>
      </c>
    </row>
    <row r="240" spans="1:30">
      <c r="A240" s="259"/>
      <c r="B240" s="55" t="s">
        <v>35</v>
      </c>
      <c r="C240" s="56">
        <v>0.4</v>
      </c>
      <c r="D240" s="65" t="s">
        <v>55</v>
      </c>
      <c r="E240" s="128">
        <v>10</v>
      </c>
      <c r="F240" s="103" t="s">
        <v>259</v>
      </c>
      <c r="G240" s="77">
        <v>8</v>
      </c>
      <c r="H240" s="104"/>
      <c r="I240" s="64"/>
      <c r="J240" s="67" t="s">
        <v>47</v>
      </c>
      <c r="K240" s="66">
        <v>10</v>
      </c>
      <c r="L240" s="104"/>
      <c r="M240" s="128"/>
      <c r="N240" s="25" t="s">
        <v>19</v>
      </c>
      <c r="O240" s="26" t="s">
        <v>20</v>
      </c>
      <c r="P240" s="18">
        <f>(C240+I239+K240+K241+K243)/100</f>
        <v>1.109</v>
      </c>
      <c r="Q240" s="19" t="s">
        <v>13</v>
      </c>
      <c r="R240" s="20" t="s">
        <v>21</v>
      </c>
      <c r="S240" s="21">
        <f>P239*5+P242*4+P243*5</f>
        <v>17.571428571428569</v>
      </c>
      <c r="T240" s="19" t="s">
        <v>18</v>
      </c>
      <c r="U240" s="22">
        <f>S240*9/S238</f>
        <v>0.18030373426667934</v>
      </c>
      <c r="W240" s="25" t="s">
        <v>19</v>
      </c>
      <c r="X240" s="17" t="s">
        <v>2</v>
      </c>
      <c r="Y240" s="18">
        <f>C239*0.6/40+E239/40+E241/60+E240/35+G242/55</f>
        <v>2.9258658008658007</v>
      </c>
      <c r="Z240" s="19" t="s">
        <v>13</v>
      </c>
      <c r="AA240" s="20" t="s">
        <v>17</v>
      </c>
      <c r="AB240" s="21">
        <f>Y239*15+Y241*5+Y242*15+Y243*12</f>
        <v>123.08181818181819</v>
      </c>
      <c r="AC240" s="19" t="s">
        <v>18</v>
      </c>
      <c r="AD240" s="22">
        <f>AB240*4/AB239</f>
        <v>0.55832135201549149</v>
      </c>
    </row>
    <row r="241" spans="1:30">
      <c r="A241" s="259"/>
      <c r="B241" s="104"/>
      <c r="C241" s="128"/>
      <c r="D241" s="99" t="s">
        <v>213</v>
      </c>
      <c r="E241" s="100">
        <v>5</v>
      </c>
      <c r="F241" s="95" t="s">
        <v>89</v>
      </c>
      <c r="G241" s="94">
        <v>8</v>
      </c>
      <c r="H241" s="115"/>
      <c r="I241" s="128"/>
      <c r="J241" s="67" t="s">
        <v>121</v>
      </c>
      <c r="K241" s="66">
        <v>0.5</v>
      </c>
      <c r="L241" s="115"/>
      <c r="M241" s="128"/>
      <c r="N241" s="16">
        <f>S240</f>
        <v>17.571428571428569</v>
      </c>
      <c r="O241" s="84" t="s">
        <v>22</v>
      </c>
      <c r="P241" s="29">
        <v>0</v>
      </c>
      <c r="Q241" s="19" t="s">
        <v>13</v>
      </c>
      <c r="R241" s="20" t="s">
        <v>23</v>
      </c>
      <c r="S241" s="21">
        <f>P238*2+P239*7+P240*1+P242*8</f>
        <v>27.736428127428127</v>
      </c>
      <c r="T241" s="19" t="s">
        <v>18</v>
      </c>
      <c r="U241" s="22">
        <f>S241*4/S238</f>
        <v>0.12649275868532092</v>
      </c>
      <c r="W241" s="16">
        <f>AB241</f>
        <v>26.629329004329001</v>
      </c>
      <c r="X241" s="26" t="s">
        <v>20</v>
      </c>
      <c r="Y241" s="18">
        <f>(G239+G240+I239+K240+G243+E242+E243+K242)/100</f>
        <v>1.68</v>
      </c>
      <c r="Z241" s="19" t="s">
        <v>13</v>
      </c>
      <c r="AA241" s="20" t="s">
        <v>21</v>
      </c>
      <c r="AB241" s="21">
        <f>Y240*5+Y243*4+Y244*5</f>
        <v>26.629329004329001</v>
      </c>
      <c r="AC241" s="19" t="s">
        <v>18</v>
      </c>
      <c r="AD241" s="22">
        <f>AB241*9/AB239</f>
        <v>0.27178975077983397</v>
      </c>
    </row>
    <row r="242" spans="1:30">
      <c r="A242" s="259"/>
      <c r="B242" s="146"/>
      <c r="C242" s="147"/>
      <c r="D242" s="99" t="s">
        <v>56</v>
      </c>
      <c r="E242" s="100">
        <v>8</v>
      </c>
      <c r="F242" s="101" t="s">
        <v>80</v>
      </c>
      <c r="G242" s="100">
        <v>10</v>
      </c>
      <c r="H242" s="115"/>
      <c r="I242" s="128"/>
      <c r="J242" s="65" t="s">
        <v>87</v>
      </c>
      <c r="K242" s="66">
        <v>1</v>
      </c>
      <c r="L242" s="101"/>
      <c r="M242" s="100"/>
      <c r="N242" s="25" t="s">
        <v>24</v>
      </c>
      <c r="O242" s="28" t="s">
        <v>3</v>
      </c>
      <c r="P242" s="29">
        <v>0</v>
      </c>
      <c r="Q242" s="19" t="s">
        <v>13</v>
      </c>
      <c r="R242" s="32"/>
      <c r="S242" s="32"/>
      <c r="T242" s="32"/>
      <c r="U242" s="33">
        <f>SUM(U239:U241)</f>
        <v>0.99999999999999989</v>
      </c>
      <c r="W242" s="25" t="s">
        <v>24</v>
      </c>
      <c r="X242" s="28" t="s">
        <v>22</v>
      </c>
      <c r="Y242" s="29">
        <v>0</v>
      </c>
      <c r="Z242" s="19" t="s">
        <v>13</v>
      </c>
      <c r="AA242" s="20" t="s">
        <v>23</v>
      </c>
      <c r="AB242" s="21">
        <f>Y239*2+Y240*7+Y241*1+Y243*8</f>
        <v>37.451969696969698</v>
      </c>
      <c r="AC242" s="19" t="s">
        <v>18</v>
      </c>
      <c r="AD242" s="22">
        <f>AB242*4/AB239</f>
        <v>0.16988889720467445</v>
      </c>
    </row>
    <row r="243" spans="1:30">
      <c r="A243" s="259" t="s">
        <v>25</v>
      </c>
      <c r="B243" s="146"/>
      <c r="C243" s="147"/>
      <c r="D243" s="104" t="s">
        <v>145</v>
      </c>
      <c r="E243" s="128">
        <v>3</v>
      </c>
      <c r="F243" s="12" t="s">
        <v>49</v>
      </c>
      <c r="G243" s="126">
        <v>3</v>
      </c>
      <c r="H243" s="115"/>
      <c r="I243" s="128"/>
      <c r="J243" s="104"/>
      <c r="K243" s="66"/>
      <c r="L243" s="115"/>
      <c r="M243" s="128"/>
      <c r="N243" s="16">
        <f>S241</f>
        <v>27.736428127428127</v>
      </c>
      <c r="O243" s="34" t="s">
        <v>26</v>
      </c>
      <c r="P243" s="29">
        <v>2.5</v>
      </c>
      <c r="Q243" s="19" t="s">
        <v>13</v>
      </c>
      <c r="R243" s="35"/>
      <c r="S243" s="35"/>
      <c r="T243" s="35"/>
      <c r="U243" s="36"/>
      <c r="W243" s="16">
        <f>AB242</f>
        <v>37.451969696969698</v>
      </c>
      <c r="X243" s="28" t="s">
        <v>3</v>
      </c>
      <c r="Y243" s="29">
        <v>0</v>
      </c>
      <c r="Z243" s="19" t="s">
        <v>13</v>
      </c>
      <c r="AA243" s="32"/>
      <c r="AB243" s="32"/>
      <c r="AC243" s="32"/>
      <c r="AD243" s="33">
        <f>SUM(AD240:AD242)</f>
        <v>0.99999999999999989</v>
      </c>
    </row>
    <row r="244" spans="1:30" ht="16.149999999999999" thickBot="1">
      <c r="A244" s="259"/>
      <c r="B244" s="146"/>
      <c r="C244" s="147"/>
      <c r="D244" s="67"/>
      <c r="E244" s="24"/>
      <c r="F244" s="12"/>
      <c r="G244" s="126"/>
      <c r="H244" s="115"/>
      <c r="I244" s="128"/>
      <c r="J244" s="95"/>
      <c r="K244" s="120"/>
      <c r="L244" s="115"/>
      <c r="M244" s="128"/>
      <c r="N244" s="25" t="s">
        <v>27</v>
      </c>
      <c r="O244" s="38" t="s">
        <v>28</v>
      </c>
      <c r="P244" s="39">
        <f>P238*68+P239*73+P240*24+P241*60+P242*112+P243*45</f>
        <v>877.09141347541345</v>
      </c>
      <c r="Q244" s="40" t="s">
        <v>15</v>
      </c>
      <c r="R244" s="41"/>
      <c r="S244" s="41"/>
      <c r="T244" s="41"/>
      <c r="U244" s="42"/>
      <c r="W244" s="25" t="s">
        <v>27</v>
      </c>
      <c r="X244" s="34" t="s">
        <v>26</v>
      </c>
      <c r="Y244" s="29">
        <v>2.4</v>
      </c>
      <c r="Z244" s="19" t="s">
        <v>13</v>
      </c>
      <c r="AA244" s="35"/>
      <c r="AB244" s="35"/>
      <c r="AC244" s="35"/>
      <c r="AD244" s="36"/>
    </row>
    <row r="245" spans="1:30" ht="16.149999999999999" thickBot="1">
      <c r="A245" s="260"/>
      <c r="B245" s="261" t="s">
        <v>100</v>
      </c>
      <c r="C245" s="262"/>
      <c r="D245" s="261" t="s">
        <v>99</v>
      </c>
      <c r="E245" s="262"/>
      <c r="F245" s="261" t="s">
        <v>102</v>
      </c>
      <c r="G245" s="262"/>
      <c r="H245" s="261" t="s">
        <v>101</v>
      </c>
      <c r="I245" s="262"/>
      <c r="J245" s="261" t="s">
        <v>102</v>
      </c>
      <c r="K245" s="273"/>
      <c r="L245" s="261" t="s">
        <v>103</v>
      </c>
      <c r="M245" s="262"/>
      <c r="N245" s="43">
        <f>P244</f>
        <v>877.09141347541345</v>
      </c>
      <c r="O245" s="44"/>
      <c r="P245" s="45"/>
      <c r="Q245" s="45"/>
      <c r="R245" s="45"/>
      <c r="S245" s="45"/>
      <c r="T245" s="45"/>
      <c r="U245" s="46"/>
      <c r="W245" s="43">
        <f>Y245</f>
        <v>881.79911255411264</v>
      </c>
      <c r="X245" s="38" t="s">
        <v>28</v>
      </c>
      <c r="Y245" s="39">
        <f>Y239*68+Y240*73+Y241*24+Y242*60+Y243*112+Y244*45</f>
        <v>881.79911255411264</v>
      </c>
      <c r="Z245" s="40" t="s">
        <v>15</v>
      </c>
      <c r="AA245" s="41"/>
      <c r="AB245" s="41"/>
      <c r="AC245" s="41"/>
      <c r="AD245" s="42"/>
    </row>
    <row r="246" spans="1:30" ht="16.149999999999999" thickBot="1">
      <c r="A246" s="263">
        <f>A238+1</f>
        <v>43921</v>
      </c>
      <c r="B246" s="264" t="s">
        <v>200</v>
      </c>
      <c r="C246" s="269"/>
      <c r="D246" s="264" t="s">
        <v>201</v>
      </c>
      <c r="E246" s="269"/>
      <c r="F246" s="265" t="s">
        <v>124</v>
      </c>
      <c r="G246" s="269"/>
      <c r="H246" s="265" t="s">
        <v>46</v>
      </c>
      <c r="I246" s="269"/>
      <c r="J246" s="264" t="s">
        <v>202</v>
      </c>
      <c r="K246" s="269"/>
      <c r="L246" s="276" t="s">
        <v>142</v>
      </c>
      <c r="M246" s="277"/>
      <c r="N246" s="5" t="s">
        <v>12</v>
      </c>
      <c r="O246" s="253" t="s">
        <v>29</v>
      </c>
      <c r="P246" s="254"/>
      <c r="Q246" s="255"/>
      <c r="R246" s="256" t="s">
        <v>30</v>
      </c>
      <c r="S246" s="257"/>
      <c r="T246" s="257"/>
      <c r="U246" s="258"/>
      <c r="W246" s="5" t="s">
        <v>12</v>
      </c>
      <c r="X246" s="253" t="s">
        <v>29</v>
      </c>
      <c r="Y246" s="254"/>
      <c r="Z246" s="255"/>
      <c r="AA246" s="256" t="s">
        <v>30</v>
      </c>
      <c r="AB246" s="257"/>
      <c r="AC246" s="257"/>
      <c r="AD246" s="258"/>
    </row>
    <row r="247" spans="1:30">
      <c r="A247" s="259"/>
      <c r="B247" s="23" t="s">
        <v>88</v>
      </c>
      <c r="C247" s="24">
        <v>65</v>
      </c>
      <c r="D247" s="61" t="s">
        <v>81</v>
      </c>
      <c r="E247" s="15">
        <v>30</v>
      </c>
      <c r="F247" s="93" t="s">
        <v>79</v>
      </c>
      <c r="G247" s="114">
        <v>20</v>
      </c>
      <c r="H247" s="110" t="s">
        <v>63</v>
      </c>
      <c r="I247" s="76">
        <v>100</v>
      </c>
      <c r="J247" s="86" t="s">
        <v>70</v>
      </c>
      <c r="K247" s="15">
        <v>10</v>
      </c>
      <c r="L247" s="61" t="s">
        <v>34</v>
      </c>
      <c r="M247" s="15">
        <v>130</v>
      </c>
      <c r="N247" s="16" t="e">
        <f>S248</f>
        <v>#REF!</v>
      </c>
      <c r="O247" s="48" t="s">
        <v>1</v>
      </c>
      <c r="P247" s="29">
        <f>G247/20+M247/20+M248/55</f>
        <v>7.5</v>
      </c>
      <c r="Q247" s="8" t="s">
        <v>13</v>
      </c>
      <c r="R247" s="49" t="s">
        <v>14</v>
      </c>
      <c r="S247" s="50" t="e">
        <f>P253</f>
        <v>#REF!</v>
      </c>
      <c r="T247" s="51" t="s">
        <v>15</v>
      </c>
      <c r="U247" s="52" t="s">
        <v>16</v>
      </c>
      <c r="W247" s="16">
        <f>AB248</f>
        <v>117.48333333333333</v>
      </c>
      <c r="X247" s="48" t="s">
        <v>1</v>
      </c>
      <c r="Y247" s="7">
        <f>E247/2/30+M247/20+C249/90</f>
        <v>7.2222222222222223</v>
      </c>
      <c r="Z247" s="8" t="s">
        <v>13</v>
      </c>
      <c r="AA247" s="49" t="s">
        <v>14</v>
      </c>
      <c r="AB247" s="50">
        <f>Y253</f>
        <v>858.0966955266955</v>
      </c>
      <c r="AC247" s="51" t="s">
        <v>15</v>
      </c>
      <c r="AD247" s="52" t="s">
        <v>16</v>
      </c>
    </row>
    <row r="248" spans="1:30">
      <c r="A248" s="259"/>
      <c r="B248" s="106" t="s">
        <v>35</v>
      </c>
      <c r="C248" s="107">
        <v>0</v>
      </c>
      <c r="D248" s="104" t="s">
        <v>76</v>
      </c>
      <c r="E248" s="128">
        <v>8</v>
      </c>
      <c r="F248" s="103" t="s">
        <v>260</v>
      </c>
      <c r="G248" s="114">
        <v>10</v>
      </c>
      <c r="H248" s="65"/>
      <c r="I248" s="64"/>
      <c r="J248" s="65" t="s">
        <v>47</v>
      </c>
      <c r="K248" s="128">
        <v>15</v>
      </c>
      <c r="L248" s="104"/>
      <c r="M248" s="128"/>
      <c r="N248" s="25" t="s">
        <v>19</v>
      </c>
      <c r="O248" s="17" t="s">
        <v>2</v>
      </c>
      <c r="P248" s="18" t="e">
        <f>C247/35+G250/35+E250/55+#REF!*0.65/35</f>
        <v>#REF!</v>
      </c>
      <c r="Q248" s="19" t="s">
        <v>13</v>
      </c>
      <c r="R248" s="20" t="s">
        <v>17</v>
      </c>
      <c r="S248" s="21" t="e">
        <f>P247*15+P249*5+P250*15+P251*12</f>
        <v>#REF!</v>
      </c>
      <c r="T248" s="19" t="s">
        <v>18</v>
      </c>
      <c r="U248" s="22" t="e">
        <f>S248*4/S247</f>
        <v>#REF!</v>
      </c>
      <c r="W248" s="25" t="s">
        <v>19</v>
      </c>
      <c r="X248" s="17" t="s">
        <v>2</v>
      </c>
      <c r="Y248" s="18">
        <f>C247/35+E247/2/35+K249/55+E248/35+G249/40</f>
        <v>2.9461038961038959</v>
      </c>
      <c r="Z248" s="19" t="s">
        <v>13</v>
      </c>
      <c r="AA248" s="20" t="s">
        <v>17</v>
      </c>
      <c r="AB248" s="21">
        <f>Y247*15+Y249*5+Y250*15+Y251*12</f>
        <v>117.48333333333333</v>
      </c>
      <c r="AC248" s="19" t="s">
        <v>18</v>
      </c>
      <c r="AD248" s="22">
        <f>AB248*4/AB247</f>
        <v>0.54764612867421725</v>
      </c>
    </row>
    <row r="249" spans="1:30">
      <c r="A249" s="259"/>
      <c r="B249" s="23" t="s">
        <v>61</v>
      </c>
      <c r="C249" s="24">
        <v>20</v>
      </c>
      <c r="D249" s="104" t="s">
        <v>47</v>
      </c>
      <c r="E249" s="126">
        <v>10</v>
      </c>
      <c r="F249" s="92" t="s">
        <v>125</v>
      </c>
      <c r="G249" s="114">
        <v>10</v>
      </c>
      <c r="H249" s="31"/>
      <c r="I249" s="128"/>
      <c r="J249" s="31" t="s">
        <v>51</v>
      </c>
      <c r="K249" s="24">
        <v>10</v>
      </c>
      <c r="L249" s="115"/>
      <c r="M249" s="128"/>
      <c r="N249" s="16" t="e">
        <f>S249</f>
        <v>#REF!</v>
      </c>
      <c r="O249" s="26" t="s">
        <v>20</v>
      </c>
      <c r="P249" s="18" t="e">
        <f>(C248+G248+G249+E247+E248+E249+#REF!+I247+#REF!)/100</f>
        <v>#REF!</v>
      </c>
      <c r="Q249" s="19" t="s">
        <v>13</v>
      </c>
      <c r="R249" s="20" t="s">
        <v>21</v>
      </c>
      <c r="S249" s="21" t="e">
        <f>P248*5+P251*4+P252*5</f>
        <v>#REF!</v>
      </c>
      <c r="T249" s="19" t="s">
        <v>18</v>
      </c>
      <c r="U249" s="22" t="e">
        <f>S249*9/S247</f>
        <v>#REF!</v>
      </c>
      <c r="W249" s="16">
        <f>AB249</f>
        <v>26.730519480519479</v>
      </c>
      <c r="X249" s="26" t="s">
        <v>20</v>
      </c>
      <c r="Y249" s="18">
        <f>(K247+I247+G247+G248+E249+K248+G250+K250+C250+C251)/100</f>
        <v>1.83</v>
      </c>
      <c r="Z249" s="19" t="s">
        <v>13</v>
      </c>
      <c r="AA249" s="20" t="s">
        <v>21</v>
      </c>
      <c r="AB249" s="21">
        <f>Y248*5+Y251*4+Y252*5</f>
        <v>26.730519480519479</v>
      </c>
      <c r="AC249" s="19" t="s">
        <v>18</v>
      </c>
      <c r="AD249" s="22">
        <f>AB249*9/AB247</f>
        <v>0.28035846843229223</v>
      </c>
    </row>
    <row r="250" spans="1:30">
      <c r="A250" s="259"/>
      <c r="B250" s="23" t="s">
        <v>145</v>
      </c>
      <c r="C250" s="24">
        <v>5</v>
      </c>
      <c r="D250" s="104"/>
      <c r="E250" s="128"/>
      <c r="F250" s="103" t="s">
        <v>145</v>
      </c>
      <c r="G250" s="128">
        <v>5</v>
      </c>
      <c r="H250" s="31"/>
      <c r="I250" s="128"/>
      <c r="J250" s="65" t="s">
        <v>145</v>
      </c>
      <c r="K250" s="126">
        <v>3</v>
      </c>
      <c r="L250" s="101"/>
      <c r="M250" s="100"/>
      <c r="N250" s="25" t="s">
        <v>24</v>
      </c>
      <c r="O250" s="84" t="s">
        <v>22</v>
      </c>
      <c r="P250" s="29">
        <v>0</v>
      </c>
      <c r="Q250" s="19" t="s">
        <v>13</v>
      </c>
      <c r="R250" s="20" t="s">
        <v>23</v>
      </c>
      <c r="S250" s="21" t="e">
        <f>P247*2+P248*7+P249*1+P251*8</f>
        <v>#REF!</v>
      </c>
      <c r="T250" s="19" t="s">
        <v>18</v>
      </c>
      <c r="U250" s="22" t="e">
        <f>S250*4/S247</f>
        <v>#REF!</v>
      </c>
      <c r="W250" s="25" t="s">
        <v>24</v>
      </c>
      <c r="X250" s="28" t="s">
        <v>22</v>
      </c>
      <c r="Y250" s="29">
        <v>0</v>
      </c>
      <c r="Z250" s="19" t="s">
        <v>13</v>
      </c>
      <c r="AA250" s="20" t="s">
        <v>23</v>
      </c>
      <c r="AB250" s="21">
        <f>Y247*2+Y248*7+Y249*1+Y251*8</f>
        <v>36.897171717171716</v>
      </c>
      <c r="AC250" s="19" t="s">
        <v>18</v>
      </c>
      <c r="AD250" s="22">
        <f>AB250*4/AB247</f>
        <v>0.17199540289349052</v>
      </c>
    </row>
    <row r="251" spans="1:30">
      <c r="A251" s="259" t="s">
        <v>31</v>
      </c>
      <c r="B251" s="104" t="s">
        <v>54</v>
      </c>
      <c r="C251" s="128">
        <v>5</v>
      </c>
      <c r="D251" s="104"/>
      <c r="E251" s="128"/>
      <c r="F251" s="103"/>
      <c r="G251" s="126"/>
      <c r="H251" s="31"/>
      <c r="I251" s="128"/>
      <c r="J251" s="78"/>
      <c r="K251" s="71"/>
      <c r="L251" s="115"/>
      <c r="M251" s="128"/>
      <c r="N251" s="16" t="e">
        <f>S250</f>
        <v>#REF!</v>
      </c>
      <c r="O251" s="28" t="s">
        <v>3</v>
      </c>
      <c r="P251" s="29">
        <v>0</v>
      </c>
      <c r="Q251" s="19" t="s">
        <v>13</v>
      </c>
      <c r="R251" s="32"/>
      <c r="S251" s="32"/>
      <c r="T251" s="32"/>
      <c r="U251" s="33" t="e">
        <f>SUM(U248:U250)</f>
        <v>#REF!</v>
      </c>
      <c r="W251" s="16">
        <f>AB250</f>
        <v>36.897171717171716</v>
      </c>
      <c r="X251" s="28" t="s">
        <v>3</v>
      </c>
      <c r="Y251" s="29">
        <v>0</v>
      </c>
      <c r="Z251" s="19" t="s">
        <v>13</v>
      </c>
      <c r="AA251" s="32"/>
      <c r="AB251" s="32"/>
      <c r="AC251" s="32"/>
      <c r="AD251" s="33">
        <f>SUM(AD248:AD250)</f>
        <v>1</v>
      </c>
    </row>
    <row r="252" spans="1:30">
      <c r="A252" s="259"/>
      <c r="B252" s="95"/>
      <c r="C252" s="94"/>
      <c r="D252" s="99"/>
      <c r="E252" s="100"/>
      <c r="F252" s="23"/>
      <c r="G252" s="24"/>
      <c r="H252" s="31"/>
      <c r="I252" s="128"/>
      <c r="J252" s="55"/>
      <c r="K252" s="63"/>
      <c r="L252" s="115"/>
      <c r="M252" s="128"/>
      <c r="N252" s="25" t="s">
        <v>27</v>
      </c>
      <c r="O252" s="34" t="s">
        <v>26</v>
      </c>
      <c r="P252" s="29">
        <v>2.5</v>
      </c>
      <c r="Q252" s="19" t="s">
        <v>13</v>
      </c>
      <c r="R252" s="35"/>
      <c r="S252" s="35"/>
      <c r="T252" s="35"/>
      <c r="U252" s="36"/>
      <c r="W252" s="25" t="s">
        <v>27</v>
      </c>
      <c r="X252" s="34" t="s">
        <v>26</v>
      </c>
      <c r="Y252" s="29">
        <v>2.4</v>
      </c>
      <c r="Z252" s="19" t="s">
        <v>13</v>
      </c>
      <c r="AA252" s="35"/>
      <c r="AB252" s="35"/>
      <c r="AC252" s="35"/>
      <c r="AD252" s="36"/>
    </row>
    <row r="253" spans="1:30" ht="16.149999999999999" thickBot="1">
      <c r="A253" s="260"/>
      <c r="B253" s="261" t="s">
        <v>102</v>
      </c>
      <c r="C253" s="262"/>
      <c r="D253" s="261" t="s">
        <v>102</v>
      </c>
      <c r="E253" s="262"/>
      <c r="F253" s="273" t="s">
        <v>99</v>
      </c>
      <c r="G253" s="262"/>
      <c r="H253" s="261" t="s">
        <v>101</v>
      </c>
      <c r="I253" s="262"/>
      <c r="J253" s="261" t="s">
        <v>102</v>
      </c>
      <c r="K253" s="262"/>
      <c r="L253" s="261" t="s">
        <v>103</v>
      </c>
      <c r="M253" s="262"/>
      <c r="N253" s="43" t="e">
        <f>P253</f>
        <v>#REF!</v>
      </c>
      <c r="O253" s="38" t="s">
        <v>28</v>
      </c>
      <c r="P253" s="39" t="e">
        <f>P247*68+P248*73+P249*24+P250*60+P251*112+P252*45</f>
        <v>#REF!</v>
      </c>
      <c r="Q253" s="40" t="s">
        <v>15</v>
      </c>
      <c r="R253" s="41"/>
      <c r="S253" s="41"/>
      <c r="T253" s="41"/>
      <c r="U253" s="42"/>
      <c r="W253" s="43">
        <f>Y253</f>
        <v>858.0966955266955</v>
      </c>
      <c r="X253" s="38" t="s">
        <v>28</v>
      </c>
      <c r="Y253" s="39">
        <f>Y247*68+Y248*73+Y249*24+Y250*60+Y251*112+Y252*45</f>
        <v>858.0966955266955</v>
      </c>
      <c r="Z253" s="40" t="s">
        <v>15</v>
      </c>
      <c r="AA253" s="41"/>
      <c r="AB253" s="41"/>
      <c r="AC253" s="41"/>
      <c r="AD253" s="42"/>
    </row>
    <row r="254" spans="1:30" ht="16.149999999999999" thickBot="1">
      <c r="A254" s="263">
        <f>A246+1</f>
        <v>43922</v>
      </c>
      <c r="B254" s="264"/>
      <c r="C254" s="269"/>
      <c r="D254" s="266"/>
      <c r="E254" s="267"/>
      <c r="F254" s="266"/>
      <c r="G254" s="267"/>
      <c r="H254" s="268"/>
      <c r="I254" s="267"/>
      <c r="J254" s="268"/>
      <c r="K254" s="270"/>
      <c r="L254" s="286"/>
      <c r="M254" s="286"/>
      <c r="N254" s="5" t="s">
        <v>12</v>
      </c>
      <c r="O254" s="253" t="s">
        <v>29</v>
      </c>
      <c r="P254" s="254"/>
      <c r="Q254" s="255"/>
      <c r="R254" s="256" t="s">
        <v>30</v>
      </c>
      <c r="S254" s="257"/>
      <c r="T254" s="257"/>
      <c r="U254" s="258"/>
      <c r="W254" s="5" t="s">
        <v>12</v>
      </c>
      <c r="X254" s="253" t="s">
        <v>29</v>
      </c>
      <c r="Y254" s="254"/>
      <c r="Z254" s="255"/>
      <c r="AA254" s="256" t="s">
        <v>30</v>
      </c>
      <c r="AB254" s="257"/>
      <c r="AC254" s="257"/>
      <c r="AD254" s="258"/>
    </row>
    <row r="255" spans="1:30">
      <c r="A255" s="259"/>
      <c r="B255" s="102"/>
      <c r="C255" s="98"/>
      <c r="D255" s="14"/>
      <c r="E255" s="47"/>
      <c r="F255" s="14"/>
      <c r="G255" s="47"/>
      <c r="H255" s="110"/>
      <c r="I255" s="76"/>
      <c r="J255" s="127"/>
      <c r="K255" s="98"/>
      <c r="L255" s="159"/>
      <c r="M255" s="138"/>
      <c r="N255" s="16" t="e">
        <f>S256</f>
        <v>#REF!</v>
      </c>
      <c r="O255" s="48" t="s">
        <v>1</v>
      </c>
      <c r="P255" s="29">
        <f>K257/35+M255/20</f>
        <v>0</v>
      </c>
      <c r="Q255" s="8" t="s">
        <v>13</v>
      </c>
      <c r="R255" s="49" t="s">
        <v>14</v>
      </c>
      <c r="S255" s="50" t="e">
        <f>P261</f>
        <v>#REF!</v>
      </c>
      <c r="T255" s="51" t="s">
        <v>15</v>
      </c>
      <c r="U255" s="58"/>
      <c r="W255" s="16">
        <f>AB256</f>
        <v>0</v>
      </c>
      <c r="X255" s="48" t="s">
        <v>1</v>
      </c>
      <c r="Y255" s="7">
        <f>M255/20+E257/2/30+K259/20+G255/20+G259/85</f>
        <v>0</v>
      </c>
      <c r="Z255" s="8" t="s">
        <v>13</v>
      </c>
      <c r="AA255" s="49" t="s">
        <v>14</v>
      </c>
      <c r="AB255" s="50">
        <f>Y261</f>
        <v>108</v>
      </c>
      <c r="AC255" s="51" t="s">
        <v>15</v>
      </c>
      <c r="AD255" s="58"/>
    </row>
    <row r="256" spans="1:30">
      <c r="A256" s="259"/>
      <c r="B256" s="55"/>
      <c r="C256" s="56"/>
      <c r="D256" s="12"/>
      <c r="E256" s="126"/>
      <c r="F256" s="12"/>
      <c r="G256" s="126"/>
      <c r="H256" s="115"/>
      <c r="I256" s="54"/>
      <c r="J256" s="55"/>
      <c r="K256" s="56"/>
      <c r="L256" s="85"/>
      <c r="M256" s="88"/>
      <c r="N256" s="25" t="s">
        <v>19</v>
      </c>
      <c r="O256" s="17" t="s">
        <v>2</v>
      </c>
      <c r="P256" s="18">
        <f>C255*0.68/40+G272/35+G273/35+E264/15+K258/60</f>
        <v>0</v>
      </c>
      <c r="Q256" s="19" t="s">
        <v>13</v>
      </c>
      <c r="R256" s="20" t="s">
        <v>17</v>
      </c>
      <c r="S256" s="21" t="e">
        <f>P255*15+P257*5+P258*15+P259*12</f>
        <v>#REF!</v>
      </c>
      <c r="T256" s="19" t="s">
        <v>18</v>
      </c>
      <c r="U256" s="22" t="e">
        <f>S256*4/S255</f>
        <v>#REF!</v>
      </c>
      <c r="W256" s="25" t="s">
        <v>19</v>
      </c>
      <c r="X256" s="17" t="s">
        <v>2</v>
      </c>
      <c r="Y256" s="18">
        <f>C255*0.6/40+K255*0.6/40+E255/2/55+G257/35</f>
        <v>0</v>
      </c>
      <c r="Z256" s="19" t="s">
        <v>13</v>
      </c>
      <c r="AA256" s="20" t="s">
        <v>17</v>
      </c>
      <c r="AB256" s="21">
        <f>Y255*15+Y257*5+Y258*15+Y259*12</f>
        <v>0</v>
      </c>
      <c r="AC256" s="19" t="s">
        <v>18</v>
      </c>
      <c r="AD256" s="22">
        <f>AB256*4/AB255</f>
        <v>0</v>
      </c>
    </row>
    <row r="257" spans="1:30">
      <c r="A257" s="259"/>
      <c r="B257" s="80"/>
      <c r="C257" s="126"/>
      <c r="D257" s="115"/>
      <c r="E257" s="126"/>
      <c r="F257" s="115"/>
      <c r="G257" s="126"/>
      <c r="H257" s="115"/>
      <c r="I257" s="128"/>
      <c r="J257" s="127"/>
      <c r="K257" s="71"/>
      <c r="L257" s="85"/>
      <c r="M257" s="88"/>
      <c r="N257" s="16">
        <f>S257</f>
        <v>12.5</v>
      </c>
      <c r="O257" s="26" t="s">
        <v>20</v>
      </c>
      <c r="P257" s="18" t="e">
        <f>(G271+E263+#REF!+I255+K255+K256)/100</f>
        <v>#REF!</v>
      </c>
      <c r="Q257" s="19" t="s">
        <v>13</v>
      </c>
      <c r="R257" s="20" t="s">
        <v>21</v>
      </c>
      <c r="S257" s="21">
        <f>P256*5+P259*4+P260*5</f>
        <v>12.5</v>
      </c>
      <c r="T257" s="19" t="s">
        <v>18</v>
      </c>
      <c r="U257" s="22" t="e">
        <f>S257*9/S255</f>
        <v>#REF!</v>
      </c>
      <c r="W257" s="16">
        <f>AB257</f>
        <v>12</v>
      </c>
      <c r="X257" s="26" t="s">
        <v>20</v>
      </c>
      <c r="Y257" s="18">
        <f>(E257++E256+G258++G256+K257+I255+K259+E258+K258)/100</f>
        <v>0</v>
      </c>
      <c r="Z257" s="19" t="s">
        <v>13</v>
      </c>
      <c r="AA257" s="20" t="s">
        <v>21</v>
      </c>
      <c r="AB257" s="21">
        <f>Y256*5+Y259*4+Y260*5</f>
        <v>12</v>
      </c>
      <c r="AC257" s="19" t="s">
        <v>18</v>
      </c>
      <c r="AD257" s="22">
        <f>AB257*9/AB255</f>
        <v>1</v>
      </c>
    </row>
    <row r="258" spans="1:30">
      <c r="A258" s="259"/>
      <c r="B258" s="95"/>
      <c r="C258" s="94"/>
      <c r="D258" s="23"/>
      <c r="E258" s="66"/>
      <c r="F258" s="12"/>
      <c r="G258" s="126"/>
      <c r="H258" s="115"/>
      <c r="I258" s="128"/>
      <c r="J258" s="127"/>
      <c r="K258" s="100"/>
      <c r="L258" s="99"/>
      <c r="M258" s="100"/>
      <c r="N258" s="25" t="s">
        <v>24</v>
      </c>
      <c r="O258" s="84" t="s">
        <v>22</v>
      </c>
      <c r="P258" s="29">
        <v>0</v>
      </c>
      <c r="Q258" s="19" t="s">
        <v>13</v>
      </c>
      <c r="R258" s="20" t="s">
        <v>23</v>
      </c>
      <c r="S258" s="21" t="e">
        <f>P255*2+P256*7+P257*1+P259*8</f>
        <v>#REF!</v>
      </c>
      <c r="T258" s="19" t="s">
        <v>18</v>
      </c>
      <c r="U258" s="22" t="e">
        <f>S258*4/S255</f>
        <v>#REF!</v>
      </c>
      <c r="W258" s="25" t="s">
        <v>24</v>
      </c>
      <c r="X258" s="28" t="s">
        <v>22</v>
      </c>
      <c r="Y258" s="29">
        <v>0</v>
      </c>
      <c r="Z258" s="19" t="s">
        <v>13</v>
      </c>
      <c r="AA258" s="20" t="s">
        <v>23</v>
      </c>
      <c r="AB258" s="21">
        <f>Y255*2+Y256*7+Y257*1+Y259*8</f>
        <v>0</v>
      </c>
      <c r="AC258" s="19" t="s">
        <v>18</v>
      </c>
      <c r="AD258" s="22">
        <f>AB258*4/AB255</f>
        <v>0</v>
      </c>
    </row>
    <row r="259" spans="1:30">
      <c r="A259" s="259" t="s">
        <v>32</v>
      </c>
      <c r="B259" s="95"/>
      <c r="C259" s="94"/>
      <c r="F259" s="23"/>
      <c r="G259" s="126"/>
      <c r="H259" s="115"/>
      <c r="I259" s="128"/>
      <c r="J259" s="127"/>
      <c r="K259" s="100"/>
      <c r="L259" s="85"/>
      <c r="M259" s="88"/>
      <c r="N259" s="16" t="e">
        <f>S258</f>
        <v>#REF!</v>
      </c>
      <c r="O259" s="28" t="s">
        <v>3</v>
      </c>
      <c r="P259" s="29">
        <v>0</v>
      </c>
      <c r="Q259" s="19" t="s">
        <v>13</v>
      </c>
      <c r="R259" s="32"/>
      <c r="S259" s="32"/>
      <c r="T259" s="32"/>
      <c r="U259" s="33" t="e">
        <f>SUM(U256:U258)</f>
        <v>#REF!</v>
      </c>
      <c r="W259" s="16">
        <f>AB258</f>
        <v>0</v>
      </c>
      <c r="X259" s="28" t="s">
        <v>3</v>
      </c>
      <c r="Y259" s="29">
        <v>0</v>
      </c>
      <c r="Z259" s="19" t="s">
        <v>13</v>
      </c>
      <c r="AA259" s="32"/>
      <c r="AB259" s="32"/>
      <c r="AC259" s="32"/>
      <c r="AD259" s="33">
        <f>SUM(AD256:AD258)</f>
        <v>1</v>
      </c>
    </row>
    <row r="260" spans="1:30">
      <c r="A260" s="259"/>
      <c r="B260" s="95"/>
      <c r="C260" s="94"/>
      <c r="D260" s="101"/>
      <c r="E260" s="119"/>
      <c r="F260" s="95"/>
      <c r="G260" s="94"/>
      <c r="H260" s="12"/>
      <c r="I260" s="27"/>
      <c r="J260" s="53"/>
      <c r="K260" s="87"/>
      <c r="L260" s="73"/>
      <c r="M260" s="71"/>
      <c r="N260" s="25" t="s">
        <v>27</v>
      </c>
      <c r="O260" s="34" t="s">
        <v>26</v>
      </c>
      <c r="P260" s="29">
        <v>2.5</v>
      </c>
      <c r="Q260" s="19" t="s">
        <v>13</v>
      </c>
      <c r="R260" s="35"/>
      <c r="S260" s="35"/>
      <c r="T260" s="35"/>
      <c r="U260" s="36"/>
      <c r="W260" s="25" t="s">
        <v>27</v>
      </c>
      <c r="X260" s="34" t="s">
        <v>26</v>
      </c>
      <c r="Y260" s="29">
        <v>2.4</v>
      </c>
      <c r="Z260" s="19" t="s">
        <v>13</v>
      </c>
      <c r="AA260" s="35"/>
      <c r="AB260" s="35"/>
      <c r="AC260" s="35"/>
      <c r="AD260" s="36"/>
    </row>
    <row r="261" spans="1:30" ht="16.149999999999999" thickBot="1">
      <c r="A261" s="260"/>
      <c r="B261" s="261"/>
      <c r="C261" s="262"/>
      <c r="D261" s="261"/>
      <c r="E261" s="273"/>
      <c r="F261" s="261"/>
      <c r="G261" s="262"/>
      <c r="H261" s="261"/>
      <c r="I261" s="262"/>
      <c r="J261" s="261"/>
      <c r="K261" s="262"/>
      <c r="L261" s="261"/>
      <c r="M261" s="262"/>
      <c r="N261" s="43" t="e">
        <f>P261</f>
        <v>#REF!</v>
      </c>
      <c r="O261" s="38" t="s">
        <v>28</v>
      </c>
      <c r="P261" s="39" t="e">
        <f>P255*68+P256*73+P257*24+P258*60+P259*112+P260*45</f>
        <v>#REF!</v>
      </c>
      <c r="Q261" s="40" t="s">
        <v>15</v>
      </c>
      <c r="R261" s="41"/>
      <c r="S261" s="41"/>
      <c r="T261" s="41"/>
      <c r="U261" s="42"/>
      <c r="W261" s="43">
        <f>Y261</f>
        <v>108</v>
      </c>
      <c r="X261" s="38" t="s">
        <v>28</v>
      </c>
      <c r="Y261" s="39">
        <f>Y255*68+Y256*73+Y257*24+Y258*60+Y259*112+Y260*45</f>
        <v>108</v>
      </c>
      <c r="Z261" s="40" t="s">
        <v>15</v>
      </c>
      <c r="AA261" s="41"/>
      <c r="AB261" s="41"/>
      <c r="AC261" s="41"/>
      <c r="AD261" s="42"/>
    </row>
    <row r="262" spans="1:30" ht="16.149999999999999" thickBot="1">
      <c r="A262" s="263">
        <f>A254+1</f>
        <v>43923</v>
      </c>
      <c r="B262" s="264"/>
      <c r="C262" s="269"/>
      <c r="D262" s="268"/>
      <c r="E262" s="267"/>
      <c r="F262" s="268"/>
      <c r="G262" s="267"/>
      <c r="H262" s="264"/>
      <c r="I262" s="269"/>
      <c r="J262" s="264"/>
      <c r="K262" s="269"/>
      <c r="L262" s="276"/>
      <c r="M262" s="277"/>
      <c r="N262" s="5" t="s">
        <v>12</v>
      </c>
      <c r="O262" s="253" t="s">
        <v>29</v>
      </c>
      <c r="P262" s="254"/>
      <c r="Q262" s="255"/>
      <c r="R262" s="256" t="s">
        <v>30</v>
      </c>
      <c r="S262" s="257"/>
      <c r="T262" s="257"/>
      <c r="U262" s="258"/>
      <c r="W262" s="5" t="s">
        <v>12</v>
      </c>
      <c r="X262" s="253" t="s">
        <v>29</v>
      </c>
      <c r="Y262" s="254"/>
      <c r="Z262" s="255"/>
      <c r="AA262" s="256" t="s">
        <v>30</v>
      </c>
      <c r="AB262" s="257"/>
      <c r="AC262" s="257"/>
      <c r="AD262" s="258"/>
    </row>
    <row r="263" spans="1:30">
      <c r="A263" s="259"/>
      <c r="B263" s="102"/>
      <c r="C263" s="98"/>
      <c r="D263" s="57"/>
      <c r="E263" s="47"/>
      <c r="F263" s="130"/>
      <c r="G263" s="131"/>
      <c r="H263" s="93"/>
      <c r="I263" s="13"/>
      <c r="J263" s="97"/>
      <c r="K263" s="98"/>
      <c r="L263" s="61"/>
      <c r="M263" s="15"/>
      <c r="N263" s="16">
        <f>S264</f>
        <v>1.75</v>
      </c>
      <c r="O263" s="48" t="s">
        <v>1</v>
      </c>
      <c r="P263" s="29">
        <f>G258/35+M263/20</f>
        <v>0</v>
      </c>
      <c r="Q263" s="8" t="s">
        <v>13</v>
      </c>
      <c r="R263" s="49" t="s">
        <v>14</v>
      </c>
      <c r="S263" s="50" t="e">
        <f>P269</f>
        <v>#REF!</v>
      </c>
      <c r="T263" s="51" t="s">
        <v>15</v>
      </c>
      <c r="U263" s="52" t="s">
        <v>16</v>
      </c>
      <c r="W263" s="16">
        <f>AB264</f>
        <v>0</v>
      </c>
      <c r="X263" s="48" t="s">
        <v>1</v>
      </c>
      <c r="Y263" s="7">
        <f>M263/20+M264/20</f>
        <v>0</v>
      </c>
      <c r="Z263" s="8" t="s">
        <v>13</v>
      </c>
      <c r="AA263" s="49" t="s">
        <v>14</v>
      </c>
      <c r="AB263" s="50">
        <f>Y269</f>
        <v>108</v>
      </c>
      <c r="AC263" s="51" t="s">
        <v>15</v>
      </c>
      <c r="AD263" s="52" t="s">
        <v>16</v>
      </c>
    </row>
    <row r="264" spans="1:30">
      <c r="A264" s="259"/>
      <c r="B264" s="53"/>
      <c r="C264" s="54"/>
      <c r="D264" s="23"/>
      <c r="E264" s="126"/>
      <c r="F264" s="106"/>
      <c r="G264" s="107"/>
      <c r="H264" s="68"/>
      <c r="I264" s="63"/>
      <c r="J264" s="65"/>
      <c r="K264" s="24"/>
      <c r="L264" s="23"/>
      <c r="M264" s="126"/>
      <c r="N264" s="25" t="s">
        <v>19</v>
      </c>
      <c r="O264" s="17" t="s">
        <v>2</v>
      </c>
      <c r="P264" s="18" t="e">
        <f>C263/35+#REF!/80+#REF!/35</f>
        <v>#REF!</v>
      </c>
      <c r="Q264" s="19" t="s">
        <v>13</v>
      </c>
      <c r="R264" s="20" t="s">
        <v>17</v>
      </c>
      <c r="S264" s="21">
        <f>P263*15+P265*5+P266*15+P267*12</f>
        <v>1.75</v>
      </c>
      <c r="T264" s="19" t="s">
        <v>18</v>
      </c>
      <c r="U264" s="22" t="e">
        <f>S264*4/S263</f>
        <v>#REF!</v>
      </c>
      <c r="W264" s="25" t="s">
        <v>19</v>
      </c>
      <c r="X264" s="17" t="s">
        <v>2</v>
      </c>
      <c r="Y264" s="18">
        <f>C263*0.92/35+E265/35+K263/55+G263*0.6/40</f>
        <v>0</v>
      </c>
      <c r="Z264" s="19" t="s">
        <v>13</v>
      </c>
      <c r="AA264" s="20" t="s">
        <v>17</v>
      </c>
      <c r="AB264" s="21">
        <f>Y263*15+Y265*5+Y266*15+Y267*12</f>
        <v>0</v>
      </c>
      <c r="AC264" s="19" t="s">
        <v>18</v>
      </c>
      <c r="AD264" s="22">
        <f>AB264*4/AB263</f>
        <v>0</v>
      </c>
    </row>
    <row r="265" spans="1:30">
      <c r="A265" s="259"/>
      <c r="B265" s="112"/>
      <c r="C265" s="126"/>
      <c r="D265" s="104"/>
      <c r="E265" s="126"/>
      <c r="F265" s="104"/>
      <c r="G265" s="128"/>
      <c r="H265" s="37"/>
      <c r="I265" s="126"/>
      <c r="J265" s="65"/>
      <c r="K265" s="24"/>
      <c r="L265" s="12"/>
      <c r="M265" s="27"/>
      <c r="N265" s="16" t="e">
        <f>S265</f>
        <v>#REF!</v>
      </c>
      <c r="O265" s="26" t="s">
        <v>20</v>
      </c>
      <c r="P265" s="18">
        <f>(G255+G256+G257+E266+I263+K247+K248+K249)/100</f>
        <v>0.35</v>
      </c>
      <c r="Q265" s="19" t="s">
        <v>13</v>
      </c>
      <c r="R265" s="20" t="s">
        <v>21</v>
      </c>
      <c r="S265" s="21" t="e">
        <f>P264*5+P267*4+P268*5</f>
        <v>#REF!</v>
      </c>
      <c r="T265" s="19" t="s">
        <v>18</v>
      </c>
      <c r="U265" s="22" t="e">
        <f>S265*9/S263</f>
        <v>#REF!</v>
      </c>
      <c r="W265" s="16">
        <f>AB265</f>
        <v>12</v>
      </c>
      <c r="X265" s="26" t="s">
        <v>20</v>
      </c>
      <c r="Y265" s="18">
        <f>(C265+E263+E264+I263+K264+E266+E267)/100</f>
        <v>0</v>
      </c>
      <c r="Z265" s="19" t="s">
        <v>13</v>
      </c>
      <c r="AA265" s="20" t="s">
        <v>21</v>
      </c>
      <c r="AB265" s="21">
        <f>Y264*5+Y267*4+Y268*5</f>
        <v>12</v>
      </c>
      <c r="AC265" s="19" t="s">
        <v>18</v>
      </c>
      <c r="AD265" s="22">
        <f>AB265*9/AB263</f>
        <v>1</v>
      </c>
    </row>
    <row r="266" spans="1:30" ht="18.3">
      <c r="A266" s="259"/>
      <c r="B266" s="95"/>
      <c r="C266" s="94"/>
      <c r="D266" s="121"/>
      <c r="E266" s="30"/>
      <c r="F266" s="129"/>
      <c r="G266" s="132"/>
      <c r="H266" s="105"/>
      <c r="I266" s="94"/>
      <c r="J266" s="104"/>
      <c r="K266" s="71"/>
      <c r="L266" s="12"/>
      <c r="M266" s="27"/>
      <c r="N266" s="25" t="s">
        <v>24</v>
      </c>
      <c r="O266" s="84" t="s">
        <v>22</v>
      </c>
      <c r="P266" s="29">
        <v>0</v>
      </c>
      <c r="Q266" s="19" t="s">
        <v>13</v>
      </c>
      <c r="R266" s="20" t="s">
        <v>23</v>
      </c>
      <c r="S266" s="21" t="e">
        <f>P263*2+P264*7+P265*1+P267*8</f>
        <v>#REF!</v>
      </c>
      <c r="T266" s="19" t="s">
        <v>18</v>
      </c>
      <c r="U266" s="22" t="e">
        <f>S266*4/S263</f>
        <v>#REF!</v>
      </c>
      <c r="W266" s="25" t="s">
        <v>24</v>
      </c>
      <c r="X266" s="28" t="s">
        <v>22</v>
      </c>
      <c r="Y266" s="29">
        <v>0</v>
      </c>
      <c r="Z266" s="19" t="s">
        <v>13</v>
      </c>
      <c r="AA266" s="20" t="s">
        <v>23</v>
      </c>
      <c r="AB266" s="21">
        <f>Y263*2+Y264*7+Y265*1+Y267*8</f>
        <v>0</v>
      </c>
      <c r="AC266" s="19" t="s">
        <v>18</v>
      </c>
      <c r="AD266" s="22">
        <f>AB266*4/AB263</f>
        <v>0</v>
      </c>
    </row>
    <row r="267" spans="1:30">
      <c r="A267" s="259" t="s">
        <v>36</v>
      </c>
      <c r="B267" s="95"/>
      <c r="C267" s="94"/>
      <c r="D267" s="134"/>
      <c r="E267" s="160"/>
      <c r="F267" s="104"/>
      <c r="G267" s="71"/>
      <c r="H267" s="99"/>
      <c r="I267" s="137"/>
      <c r="J267" s="99"/>
      <c r="K267" s="94"/>
      <c r="L267" s="12"/>
      <c r="M267" s="27"/>
      <c r="N267" s="16" t="e">
        <f>S266</f>
        <v>#REF!</v>
      </c>
      <c r="O267" s="28" t="s">
        <v>3</v>
      </c>
      <c r="P267" s="29">
        <v>0</v>
      </c>
      <c r="Q267" s="19" t="s">
        <v>13</v>
      </c>
      <c r="R267" s="32"/>
      <c r="S267" s="32"/>
      <c r="T267" s="32"/>
      <c r="U267" s="33" t="e">
        <f>SUM(U264:U266)</f>
        <v>#REF!</v>
      </c>
      <c r="W267" s="16">
        <f>AB266</f>
        <v>0</v>
      </c>
      <c r="X267" s="28" t="s">
        <v>3</v>
      </c>
      <c r="Y267" s="29">
        <v>0</v>
      </c>
      <c r="Z267" s="19" t="s">
        <v>13</v>
      </c>
      <c r="AA267" s="32"/>
      <c r="AB267" s="32"/>
      <c r="AC267" s="32"/>
      <c r="AD267" s="33">
        <f>SUM(AD264:AD266)</f>
        <v>1</v>
      </c>
    </row>
    <row r="268" spans="1:30">
      <c r="A268" s="259"/>
      <c r="B268" s="104"/>
      <c r="C268" s="154"/>
      <c r="D268" s="95"/>
      <c r="E268" s="120"/>
      <c r="F268" s="95"/>
      <c r="G268" s="94"/>
      <c r="H268" s="99"/>
      <c r="I268" s="137"/>
      <c r="J268" s="53"/>
      <c r="K268" s="90"/>
      <c r="L268" s="23"/>
      <c r="M268" s="71"/>
      <c r="N268" s="25" t="s">
        <v>27</v>
      </c>
      <c r="O268" s="34" t="s">
        <v>26</v>
      </c>
      <c r="P268" s="29">
        <v>2.5</v>
      </c>
      <c r="Q268" s="19" t="s">
        <v>13</v>
      </c>
      <c r="R268" s="35"/>
      <c r="S268" s="35"/>
      <c r="T268" s="35"/>
      <c r="U268" s="36"/>
      <c r="W268" s="25" t="s">
        <v>27</v>
      </c>
      <c r="X268" s="34" t="s">
        <v>26</v>
      </c>
      <c r="Y268" s="29">
        <v>2.4</v>
      </c>
      <c r="Z268" s="19" t="s">
        <v>13</v>
      </c>
      <c r="AA268" s="35"/>
      <c r="AB268" s="35"/>
      <c r="AC268" s="35"/>
      <c r="AD268" s="36"/>
    </row>
    <row r="269" spans="1:30" ht="16.149999999999999" thickBot="1">
      <c r="A269" s="260"/>
      <c r="B269" s="261"/>
      <c r="C269" s="262"/>
      <c r="D269" s="261"/>
      <c r="E269" s="262"/>
      <c r="F269" s="261"/>
      <c r="G269" s="262"/>
      <c r="H269" s="273"/>
      <c r="I269" s="262"/>
      <c r="J269" s="261"/>
      <c r="K269" s="262"/>
      <c r="L269" s="261"/>
      <c r="M269" s="262"/>
      <c r="N269" s="43" t="e">
        <f>P269</f>
        <v>#REF!</v>
      </c>
      <c r="O269" s="38" t="s">
        <v>28</v>
      </c>
      <c r="P269" s="39" t="e">
        <f>P263*68+P264*73+P265*24+P266*60+P267*112+P268*45</f>
        <v>#REF!</v>
      </c>
      <c r="Q269" s="40" t="s">
        <v>15</v>
      </c>
      <c r="R269" s="41"/>
      <c r="S269" s="41"/>
      <c r="T269" s="41"/>
      <c r="U269" s="42"/>
      <c r="W269" s="43">
        <f>Y269</f>
        <v>108</v>
      </c>
      <c r="X269" s="38" t="s">
        <v>28</v>
      </c>
      <c r="Y269" s="39">
        <f>Y263*68+Y264*73+Y265*24+Y266*60+Y267*112+Y268*45</f>
        <v>108</v>
      </c>
      <c r="Z269" s="40" t="s">
        <v>15</v>
      </c>
      <c r="AA269" s="41"/>
      <c r="AB269" s="41"/>
      <c r="AC269" s="41"/>
      <c r="AD269" s="42"/>
    </row>
    <row r="270" spans="1:30" ht="16.149999999999999" thickBot="1">
      <c r="A270" s="263">
        <f>A262+1</f>
        <v>43924</v>
      </c>
      <c r="B270" s="264"/>
      <c r="C270" s="265"/>
      <c r="D270" s="266"/>
      <c r="E270" s="267"/>
      <c r="F270" s="268"/>
      <c r="G270" s="267"/>
      <c r="H270" s="264"/>
      <c r="I270" s="269"/>
      <c r="J270" s="268"/>
      <c r="K270" s="270"/>
      <c r="L270" s="271"/>
      <c r="M270" s="272"/>
      <c r="N270" s="5" t="s">
        <v>12</v>
      </c>
      <c r="O270" s="253" t="s">
        <v>29</v>
      </c>
      <c r="P270" s="254"/>
      <c r="Q270" s="255"/>
      <c r="R270" s="256" t="s">
        <v>30</v>
      </c>
      <c r="S270" s="257"/>
      <c r="T270" s="257"/>
      <c r="U270" s="258"/>
      <c r="W270" s="5" t="s">
        <v>12</v>
      </c>
      <c r="X270" s="253" t="s">
        <v>29</v>
      </c>
      <c r="Y270" s="254"/>
      <c r="Z270" s="255"/>
      <c r="AA270" s="256" t="s">
        <v>30</v>
      </c>
      <c r="AB270" s="257"/>
      <c r="AC270" s="257"/>
      <c r="AD270" s="258"/>
    </row>
    <row r="271" spans="1:30">
      <c r="A271" s="259"/>
      <c r="B271" s="61"/>
      <c r="C271" s="166"/>
      <c r="D271" s="14"/>
      <c r="E271" s="47"/>
      <c r="F271" s="65"/>
      <c r="G271" s="128"/>
      <c r="H271" s="110"/>
      <c r="I271" s="13"/>
      <c r="J271" s="61"/>
      <c r="K271" s="70"/>
      <c r="L271" s="168"/>
      <c r="M271" s="138"/>
      <c r="N271" s="16" t="e">
        <f>S272</f>
        <v>#REF!</v>
      </c>
      <c r="O271" s="48" t="s">
        <v>1</v>
      </c>
      <c r="P271" s="29">
        <f>G276/55+M271/20+M272/20</f>
        <v>0</v>
      </c>
      <c r="Q271" s="8" t="s">
        <v>13</v>
      </c>
      <c r="R271" s="49" t="s">
        <v>14</v>
      </c>
      <c r="S271" s="50" t="e">
        <f>P277</f>
        <v>#REF!</v>
      </c>
      <c r="T271" s="51" t="s">
        <v>15</v>
      </c>
      <c r="U271" s="58"/>
      <c r="W271" s="16">
        <f>AB272</f>
        <v>0</v>
      </c>
      <c r="X271" s="48" t="s">
        <v>1</v>
      </c>
      <c r="Y271" s="29">
        <f>M271/20+M272/20+G271/20</f>
        <v>0</v>
      </c>
      <c r="Z271" s="8" t="s">
        <v>13</v>
      </c>
      <c r="AA271" s="49" t="s">
        <v>14</v>
      </c>
      <c r="AB271" s="50">
        <f>Y277</f>
        <v>108</v>
      </c>
      <c r="AC271" s="51" t="s">
        <v>15</v>
      </c>
      <c r="AD271" s="58"/>
    </row>
    <row r="272" spans="1:30">
      <c r="A272" s="259"/>
      <c r="B272" s="104"/>
      <c r="C272" s="70"/>
      <c r="D272" s="12"/>
      <c r="E272" s="126"/>
      <c r="F272" s="65"/>
      <c r="G272" s="128"/>
      <c r="H272" s="99"/>
      <c r="I272" s="100"/>
      <c r="J272" s="163"/>
      <c r="K272" s="77"/>
      <c r="L272" s="73"/>
      <c r="M272" s="71"/>
      <c r="N272" s="25" t="s">
        <v>19</v>
      </c>
      <c r="O272" s="17" t="s">
        <v>2</v>
      </c>
      <c r="P272" s="18" t="e">
        <f>C271*0.58/40+E273/55+#REF!*0.52/35+#REF!/80</f>
        <v>#REF!</v>
      </c>
      <c r="Q272" s="19" t="s">
        <v>13</v>
      </c>
      <c r="R272" s="20" t="s">
        <v>17</v>
      </c>
      <c r="S272" s="21" t="e">
        <f>P271*15+P273*5+P274*15+P275*12</f>
        <v>#REF!</v>
      </c>
      <c r="T272" s="19" t="s">
        <v>18</v>
      </c>
      <c r="U272" s="22" t="e">
        <f>S272*4/S271</f>
        <v>#REF!</v>
      </c>
      <c r="W272" s="25" t="s">
        <v>19</v>
      </c>
      <c r="X272" s="17" t="s">
        <v>2</v>
      </c>
      <c r="Y272" s="18">
        <f>C271/35+E274/80+K272*0.6/35+E271/55+K274/15</f>
        <v>0</v>
      </c>
      <c r="Z272" s="19" t="s">
        <v>13</v>
      </c>
      <c r="AA272" s="20" t="s">
        <v>17</v>
      </c>
      <c r="AB272" s="21">
        <f>Y271*15+Y273*5+Y274*15+Y275*12</f>
        <v>0</v>
      </c>
      <c r="AC272" s="19" t="s">
        <v>18</v>
      </c>
      <c r="AD272" s="22">
        <f>AB272*4/AB271</f>
        <v>0</v>
      </c>
    </row>
    <row r="273" spans="1:30">
      <c r="A273" s="259"/>
      <c r="B273" s="23"/>
      <c r="C273" s="120"/>
      <c r="D273" s="115"/>
      <c r="E273" s="126"/>
      <c r="F273" s="101"/>
      <c r="G273" s="100"/>
      <c r="H273" s="12"/>
      <c r="I273" s="126"/>
      <c r="J273" s="167"/>
      <c r="K273" s="169"/>
      <c r="L273" s="85"/>
      <c r="M273" s="71"/>
      <c r="N273" s="16" t="e">
        <f>S273</f>
        <v>#REF!</v>
      </c>
      <c r="O273" s="26" t="s">
        <v>20</v>
      </c>
      <c r="P273" s="18" t="e">
        <f>(E271+E272+E273+E274+#REF!+#REF!+I271+#REF!+#REF!)/100</f>
        <v>#REF!</v>
      </c>
      <c r="Q273" s="19" t="s">
        <v>13</v>
      </c>
      <c r="R273" s="20" t="s">
        <v>21</v>
      </c>
      <c r="S273" s="21" t="e">
        <f>P272*5+P275*4+P276*5</f>
        <v>#REF!</v>
      </c>
      <c r="T273" s="19" t="s">
        <v>18</v>
      </c>
      <c r="U273" s="22" t="e">
        <f>S273*9/S271</f>
        <v>#REF!</v>
      </c>
      <c r="W273" s="16">
        <f>AB273</f>
        <v>12</v>
      </c>
      <c r="X273" s="26" t="s">
        <v>20</v>
      </c>
      <c r="Y273" s="18">
        <f>(E272+G272+G273+G274+G275+G276+K271+E273+I271)/100</f>
        <v>0</v>
      </c>
      <c r="Z273" s="19" t="s">
        <v>13</v>
      </c>
      <c r="AA273" s="20" t="s">
        <v>21</v>
      </c>
      <c r="AB273" s="21">
        <f>Y272*5+Y275*4+Y276*5</f>
        <v>12</v>
      </c>
      <c r="AC273" s="19" t="s">
        <v>18</v>
      </c>
      <c r="AD273" s="22">
        <f>AB273*9/AB271</f>
        <v>1</v>
      </c>
    </row>
    <row r="274" spans="1:30">
      <c r="A274" s="259"/>
      <c r="D274" s="12"/>
      <c r="E274" s="126"/>
      <c r="F274" s="115"/>
      <c r="G274" s="119"/>
      <c r="H274" s="12"/>
      <c r="I274" s="126"/>
      <c r="J274" s="163"/>
      <c r="K274" s="77"/>
      <c r="L274" s="73"/>
      <c r="M274" s="71"/>
      <c r="N274" s="25" t="s">
        <v>24</v>
      </c>
      <c r="O274" s="84" t="s">
        <v>22</v>
      </c>
      <c r="P274" s="29">
        <v>0</v>
      </c>
      <c r="Q274" s="19" t="s">
        <v>13</v>
      </c>
      <c r="R274" s="20" t="s">
        <v>23</v>
      </c>
      <c r="S274" s="21" t="e">
        <f>P271*2+P272*7+P273*1+P275*8</f>
        <v>#REF!</v>
      </c>
      <c r="T274" s="19" t="s">
        <v>18</v>
      </c>
      <c r="U274" s="22" t="e">
        <f>S274*4/S271</f>
        <v>#REF!</v>
      </c>
      <c r="W274" s="25" t="s">
        <v>24</v>
      </c>
      <c r="X274" s="28" t="s">
        <v>22</v>
      </c>
      <c r="Y274" s="29">
        <v>0</v>
      </c>
      <c r="Z274" s="19" t="s">
        <v>13</v>
      </c>
      <c r="AA274" s="20" t="s">
        <v>23</v>
      </c>
      <c r="AB274" s="21">
        <f>Y271*2+Y272*7+Y273*1+Y275*8</f>
        <v>0</v>
      </c>
      <c r="AC274" s="19" t="s">
        <v>18</v>
      </c>
      <c r="AD274" s="22">
        <f>AB274*4/AB271</f>
        <v>0</v>
      </c>
    </row>
    <row r="275" spans="1:30">
      <c r="A275" s="259" t="s">
        <v>38</v>
      </c>
      <c r="B275" s="95"/>
      <c r="C275" s="120"/>
      <c r="D275" s="23"/>
      <c r="E275" s="126"/>
      <c r="F275" s="101"/>
      <c r="G275" s="119"/>
      <c r="H275" s="12"/>
      <c r="I275" s="126"/>
      <c r="K275"/>
      <c r="L275" s="23"/>
      <c r="M275" s="27"/>
      <c r="N275" s="16" t="e">
        <f>S274</f>
        <v>#REF!</v>
      </c>
      <c r="O275" s="28" t="s">
        <v>3</v>
      </c>
      <c r="P275" s="29">
        <v>0</v>
      </c>
      <c r="Q275" s="19" t="s">
        <v>13</v>
      </c>
      <c r="R275" s="32"/>
      <c r="S275" s="32"/>
      <c r="T275" s="32"/>
      <c r="U275" s="33" t="e">
        <f>SUM(U272:U274)</f>
        <v>#REF!</v>
      </c>
      <c r="W275" s="16">
        <f>AB274</f>
        <v>0</v>
      </c>
      <c r="X275" s="28" t="s">
        <v>3</v>
      </c>
      <c r="Y275" s="29">
        <v>0</v>
      </c>
      <c r="Z275" s="19" t="s">
        <v>13</v>
      </c>
      <c r="AA275" s="32"/>
      <c r="AB275" s="32"/>
      <c r="AC275" s="32"/>
      <c r="AD275" s="33">
        <f>SUM(AD272:AD274)</f>
        <v>1</v>
      </c>
    </row>
    <row r="276" spans="1:30">
      <c r="A276" s="259"/>
      <c r="B276" s="95"/>
      <c r="C276" s="120"/>
      <c r="D276" s="95"/>
      <c r="E276" s="94"/>
      <c r="F276" s="104"/>
      <c r="G276" s="126"/>
      <c r="H276" s="73"/>
      <c r="I276" s="71"/>
      <c r="J276" s="55"/>
      <c r="K276" s="63"/>
      <c r="L276" s="23"/>
      <c r="M276" s="27"/>
      <c r="N276" s="25" t="s">
        <v>27</v>
      </c>
      <c r="O276" s="34" t="s">
        <v>26</v>
      </c>
      <c r="P276" s="29">
        <v>2.5</v>
      </c>
      <c r="Q276" s="19" t="s">
        <v>13</v>
      </c>
      <c r="R276" s="35"/>
      <c r="S276" s="35"/>
      <c r="T276" s="35"/>
      <c r="U276" s="36"/>
      <c r="W276" s="25" t="s">
        <v>27</v>
      </c>
      <c r="X276" s="34" t="s">
        <v>26</v>
      </c>
      <c r="Y276" s="29">
        <v>2.4</v>
      </c>
      <c r="Z276" s="19" t="s">
        <v>13</v>
      </c>
      <c r="AA276" s="35"/>
      <c r="AB276" s="35"/>
      <c r="AC276" s="35"/>
      <c r="AD276" s="36"/>
    </row>
    <row r="277" spans="1:30" ht="16.149999999999999" thickBot="1">
      <c r="A277" s="260"/>
      <c r="B277" s="261"/>
      <c r="C277" s="262"/>
      <c r="D277" s="261"/>
      <c r="E277" s="262"/>
      <c r="F277" s="261"/>
      <c r="G277" s="262"/>
      <c r="H277" s="261"/>
      <c r="I277" s="262"/>
      <c r="J277" s="261"/>
      <c r="K277" s="262"/>
      <c r="L277" s="261"/>
      <c r="M277" s="262"/>
      <c r="N277" s="43" t="e">
        <f>P277</f>
        <v>#REF!</v>
      </c>
      <c r="O277" s="38" t="s">
        <v>28</v>
      </c>
      <c r="P277" s="39" t="e">
        <f>P271*68+P272*73+P273*24+P274*60+P275*112+P276*45</f>
        <v>#REF!</v>
      </c>
      <c r="Q277" s="40" t="s">
        <v>15</v>
      </c>
      <c r="R277" s="41"/>
      <c r="S277" s="41"/>
      <c r="T277" s="41"/>
      <c r="U277" s="42"/>
      <c r="W277" s="43">
        <f>Y277</f>
        <v>108</v>
      </c>
      <c r="X277" s="38" t="s">
        <v>28</v>
      </c>
      <c r="Y277" s="39">
        <f>Y271*68+Y272*73+Y273*24+Y274*60+Y275*112+Y276*45</f>
        <v>108</v>
      </c>
      <c r="Z277" s="40" t="s">
        <v>15</v>
      </c>
      <c r="AA277" s="41"/>
      <c r="AB277" s="41"/>
      <c r="AC277" s="41"/>
      <c r="AD277" s="42"/>
    </row>
    <row r="278" spans="1:30">
      <c r="A278" s="247" t="s">
        <v>39</v>
      </c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  <c r="M278" s="248"/>
    </row>
    <row r="279" spans="1:30">
      <c r="A279" s="249" t="s">
        <v>40</v>
      </c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</row>
    <row r="280" spans="1:30">
      <c r="A280" s="250" t="s">
        <v>41</v>
      </c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</row>
    <row r="281" spans="1:30">
      <c r="A281" s="251" t="s">
        <v>42</v>
      </c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</row>
    <row r="282" spans="1:30">
      <c r="A282" s="252" t="s">
        <v>43</v>
      </c>
      <c r="B282" s="252"/>
      <c r="C282" s="252"/>
      <c r="D282" s="252"/>
      <c r="E282" s="252"/>
      <c r="F282" s="252"/>
      <c r="G282" s="252"/>
      <c r="H282" s="252"/>
      <c r="I282" s="252"/>
      <c r="J282" s="252"/>
      <c r="K282" s="252"/>
      <c r="L282" s="252"/>
      <c r="M282" s="252"/>
      <c r="N282" s="252"/>
    </row>
  </sheetData>
  <mergeCells count="577">
    <mergeCell ref="A48:M48"/>
    <mergeCell ref="O49:U49"/>
    <mergeCell ref="X49:AD49"/>
    <mergeCell ref="A50:A54"/>
    <mergeCell ref="D50:E50"/>
    <mergeCell ref="F50:G50"/>
    <mergeCell ref="H50:I50"/>
    <mergeCell ref="J50:K50"/>
    <mergeCell ref="L50:M50"/>
    <mergeCell ref="X50:Z50"/>
    <mergeCell ref="AA50:AD50"/>
    <mergeCell ref="A55:A57"/>
    <mergeCell ref="D57:E57"/>
    <mergeCell ref="F57:G57"/>
    <mergeCell ref="H57:I57"/>
    <mergeCell ref="J57:K57"/>
    <mergeCell ref="O58:Q58"/>
    <mergeCell ref="R58:U58"/>
    <mergeCell ref="X58:Z58"/>
    <mergeCell ref="AA58:AD58"/>
    <mergeCell ref="L57:M57"/>
    <mergeCell ref="D58:E58"/>
    <mergeCell ref="F58:G58"/>
    <mergeCell ref="H58:I58"/>
    <mergeCell ref="J58:K58"/>
    <mergeCell ref="L58:M58"/>
    <mergeCell ref="A58:A62"/>
    <mergeCell ref="X74:Z74"/>
    <mergeCell ref="AA74:AD74"/>
    <mergeCell ref="H66:I66"/>
    <mergeCell ref="J66:K66"/>
    <mergeCell ref="L66:M66"/>
    <mergeCell ref="A63:A65"/>
    <mergeCell ref="D65:E65"/>
    <mergeCell ref="F65:G65"/>
    <mergeCell ref="H65:I65"/>
    <mergeCell ref="J65:K65"/>
    <mergeCell ref="A71:A73"/>
    <mergeCell ref="D73:E73"/>
    <mergeCell ref="F73:G73"/>
    <mergeCell ref="H73:I73"/>
    <mergeCell ref="J73:K73"/>
    <mergeCell ref="L73:M73"/>
    <mergeCell ref="O66:Q66"/>
    <mergeCell ref="R66:U66"/>
    <mergeCell ref="X66:Z66"/>
    <mergeCell ref="AA66:AD66"/>
    <mergeCell ref="L65:M65"/>
    <mergeCell ref="A66:A70"/>
    <mergeCell ref="D66:E66"/>
    <mergeCell ref="F66:G66"/>
    <mergeCell ref="A79:A81"/>
    <mergeCell ref="B81:C81"/>
    <mergeCell ref="D81:E81"/>
    <mergeCell ref="F81:G81"/>
    <mergeCell ref="H81:I81"/>
    <mergeCell ref="J81:K81"/>
    <mergeCell ref="L81:M81"/>
    <mergeCell ref="O74:Q74"/>
    <mergeCell ref="R74:U74"/>
    <mergeCell ref="A74:A78"/>
    <mergeCell ref="B74:C74"/>
    <mergeCell ref="D74:E74"/>
    <mergeCell ref="F74:G74"/>
    <mergeCell ref="H74:I74"/>
    <mergeCell ref="J74:K74"/>
    <mergeCell ref="L74:M74"/>
    <mergeCell ref="L82:M82"/>
    <mergeCell ref="O82:Q82"/>
    <mergeCell ref="R82:U82"/>
    <mergeCell ref="X82:Z82"/>
    <mergeCell ref="AA82:AD82"/>
    <mergeCell ref="A82:A86"/>
    <mergeCell ref="B82:C82"/>
    <mergeCell ref="D82:E82"/>
    <mergeCell ref="F82:G82"/>
    <mergeCell ref="H82:I82"/>
    <mergeCell ref="J82:K82"/>
    <mergeCell ref="A90:M90"/>
    <mergeCell ref="A91:N91"/>
    <mergeCell ref="A92:N92"/>
    <mergeCell ref="A93:N93"/>
    <mergeCell ref="A94:N94"/>
    <mergeCell ref="A95:M95"/>
    <mergeCell ref="A87:A89"/>
    <mergeCell ref="B89:C89"/>
    <mergeCell ref="D89:E89"/>
    <mergeCell ref="F89:G89"/>
    <mergeCell ref="H89:I89"/>
    <mergeCell ref="J89:K89"/>
    <mergeCell ref="L89:M89"/>
    <mergeCell ref="O96:U96"/>
    <mergeCell ref="X96:AD96"/>
    <mergeCell ref="A97:A101"/>
    <mergeCell ref="D97:E97"/>
    <mergeCell ref="F97:G97"/>
    <mergeCell ref="H97:I97"/>
    <mergeCell ref="J97:K97"/>
    <mergeCell ref="L97:M97"/>
    <mergeCell ref="X97:Z97"/>
    <mergeCell ref="AA97:AD97"/>
    <mergeCell ref="A102:A104"/>
    <mergeCell ref="D104:E104"/>
    <mergeCell ref="F104:G104"/>
    <mergeCell ref="H104:I104"/>
    <mergeCell ref="J104:K104"/>
    <mergeCell ref="L104:M104"/>
    <mergeCell ref="A105:A109"/>
    <mergeCell ref="D105:E105"/>
    <mergeCell ref="F105:G105"/>
    <mergeCell ref="H105:I105"/>
    <mergeCell ref="J105:K105"/>
    <mergeCell ref="L105:M105"/>
    <mergeCell ref="R105:U105"/>
    <mergeCell ref="X105:Z105"/>
    <mergeCell ref="AA105:AD105"/>
    <mergeCell ref="A110:A112"/>
    <mergeCell ref="D112:E112"/>
    <mergeCell ref="F112:G112"/>
    <mergeCell ref="H112:I112"/>
    <mergeCell ref="J112:K112"/>
    <mergeCell ref="L112:M112"/>
    <mergeCell ref="B120:C120"/>
    <mergeCell ref="D120:E120"/>
    <mergeCell ref="F120:G120"/>
    <mergeCell ref="H120:I120"/>
    <mergeCell ref="J120:K120"/>
    <mergeCell ref="O105:Q105"/>
    <mergeCell ref="L120:M120"/>
    <mergeCell ref="L113:M113"/>
    <mergeCell ref="O113:Q113"/>
    <mergeCell ref="B105:C105"/>
    <mergeCell ref="B112:C112"/>
    <mergeCell ref="R113:U113"/>
    <mergeCell ref="X113:Z113"/>
    <mergeCell ref="AA113:AD113"/>
    <mergeCell ref="A126:A128"/>
    <mergeCell ref="B128:C128"/>
    <mergeCell ref="D128:E128"/>
    <mergeCell ref="F128:G128"/>
    <mergeCell ref="H128:I128"/>
    <mergeCell ref="J128:K128"/>
    <mergeCell ref="L128:M128"/>
    <mergeCell ref="L121:M121"/>
    <mergeCell ref="O121:Q121"/>
    <mergeCell ref="R121:U121"/>
    <mergeCell ref="X121:Z121"/>
    <mergeCell ref="AA121:AD121"/>
    <mergeCell ref="A121:A125"/>
    <mergeCell ref="B121:C121"/>
    <mergeCell ref="A113:A117"/>
    <mergeCell ref="B113:C113"/>
    <mergeCell ref="D113:E113"/>
    <mergeCell ref="F113:G113"/>
    <mergeCell ref="H113:I113"/>
    <mergeCell ref="J113:K113"/>
    <mergeCell ref="A118:A120"/>
    <mergeCell ref="R129:U129"/>
    <mergeCell ref="X129:Z129"/>
    <mergeCell ref="AA129:AD129"/>
    <mergeCell ref="A129:A133"/>
    <mergeCell ref="B129:C129"/>
    <mergeCell ref="D129:E129"/>
    <mergeCell ref="F129:G129"/>
    <mergeCell ref="H129:I129"/>
    <mergeCell ref="J129:K129"/>
    <mergeCell ref="L129:M129"/>
    <mergeCell ref="O129:Q129"/>
    <mergeCell ref="A137:M137"/>
    <mergeCell ref="A138:N138"/>
    <mergeCell ref="A134:A136"/>
    <mergeCell ref="B136:C136"/>
    <mergeCell ref="D136:E136"/>
    <mergeCell ref="F136:G136"/>
    <mergeCell ref="H136:I136"/>
    <mergeCell ref="J136:K136"/>
    <mergeCell ref="D121:E121"/>
    <mergeCell ref="F121:G121"/>
    <mergeCell ref="H121:I121"/>
    <mergeCell ref="J121:K121"/>
    <mergeCell ref="L136:M136"/>
    <mergeCell ref="A152:A156"/>
    <mergeCell ref="B152:C152"/>
    <mergeCell ref="D152:E152"/>
    <mergeCell ref="F152:G152"/>
    <mergeCell ref="H152:I152"/>
    <mergeCell ref="J152:K152"/>
    <mergeCell ref="A157:A159"/>
    <mergeCell ref="B159:C159"/>
    <mergeCell ref="D159:E159"/>
    <mergeCell ref="F159:G159"/>
    <mergeCell ref="H159:I159"/>
    <mergeCell ref="J159:K159"/>
    <mergeCell ref="A165:A167"/>
    <mergeCell ref="B167:C167"/>
    <mergeCell ref="D167:E167"/>
    <mergeCell ref="F167:G167"/>
    <mergeCell ref="H167:I167"/>
    <mergeCell ref="J167:K167"/>
    <mergeCell ref="L160:M160"/>
    <mergeCell ref="O160:Q160"/>
    <mergeCell ref="R160:U160"/>
    <mergeCell ref="A160:A164"/>
    <mergeCell ref="B160:C160"/>
    <mergeCell ref="D160:E160"/>
    <mergeCell ref="F160:G160"/>
    <mergeCell ref="H160:I160"/>
    <mergeCell ref="J160:K160"/>
    <mergeCell ref="L167:M167"/>
    <mergeCell ref="AA168:AD168"/>
    <mergeCell ref="A173:A175"/>
    <mergeCell ref="B175:C175"/>
    <mergeCell ref="D175:E175"/>
    <mergeCell ref="F175:G175"/>
    <mergeCell ref="H175:I175"/>
    <mergeCell ref="J175:K175"/>
    <mergeCell ref="L175:M175"/>
    <mergeCell ref="A168:A172"/>
    <mergeCell ref="B168:C168"/>
    <mergeCell ref="D168:E168"/>
    <mergeCell ref="F168:G168"/>
    <mergeCell ref="H168:I168"/>
    <mergeCell ref="J168:K168"/>
    <mergeCell ref="L168:M168"/>
    <mergeCell ref="O168:Q168"/>
    <mergeCell ref="A184:M184"/>
    <mergeCell ref="A185:N185"/>
    <mergeCell ref="A186:N186"/>
    <mergeCell ref="L176:M176"/>
    <mergeCell ref="O176:Q176"/>
    <mergeCell ref="R176:U176"/>
    <mergeCell ref="X176:Z176"/>
    <mergeCell ref="R168:U168"/>
    <mergeCell ref="X168:Z168"/>
    <mergeCell ref="AA176:AD176"/>
    <mergeCell ref="A181:A183"/>
    <mergeCell ref="B183:C183"/>
    <mergeCell ref="D183:E183"/>
    <mergeCell ref="F183:G183"/>
    <mergeCell ref="H183:I183"/>
    <mergeCell ref="A176:A180"/>
    <mergeCell ref="B176:C176"/>
    <mergeCell ref="D176:E176"/>
    <mergeCell ref="F176:G176"/>
    <mergeCell ref="H176:I176"/>
    <mergeCell ref="J176:K176"/>
    <mergeCell ref="J183:K183"/>
    <mergeCell ref="L183:M183"/>
    <mergeCell ref="J191:K191"/>
    <mergeCell ref="L191:M191"/>
    <mergeCell ref="X191:Z191"/>
    <mergeCell ref="AA191:AD191"/>
    <mergeCell ref="A187:N187"/>
    <mergeCell ref="A188:N188"/>
    <mergeCell ref="A189:M189"/>
    <mergeCell ref="O190:U190"/>
    <mergeCell ref="X190:AD190"/>
    <mergeCell ref="A191:A195"/>
    <mergeCell ref="B191:C191"/>
    <mergeCell ref="D191:E191"/>
    <mergeCell ref="F191:G191"/>
    <mergeCell ref="H191:I191"/>
    <mergeCell ref="B199:C199"/>
    <mergeCell ref="D199:E199"/>
    <mergeCell ref="F199:G199"/>
    <mergeCell ref="H199:I199"/>
    <mergeCell ref="J199:K199"/>
    <mergeCell ref="L199:M199"/>
    <mergeCell ref="A196:A198"/>
    <mergeCell ref="B198:C198"/>
    <mergeCell ref="D198:E198"/>
    <mergeCell ref="F198:G198"/>
    <mergeCell ref="H198:I198"/>
    <mergeCell ref="J198:K198"/>
    <mergeCell ref="O199:Q199"/>
    <mergeCell ref="R199:U199"/>
    <mergeCell ref="X199:Z199"/>
    <mergeCell ref="AA199:AD199"/>
    <mergeCell ref="L198:M198"/>
    <mergeCell ref="A207:A211"/>
    <mergeCell ref="B207:C207"/>
    <mergeCell ref="D207:E207"/>
    <mergeCell ref="F207:G207"/>
    <mergeCell ref="H207:I207"/>
    <mergeCell ref="J207:K207"/>
    <mergeCell ref="L207:M207"/>
    <mergeCell ref="A204:A206"/>
    <mergeCell ref="B206:C206"/>
    <mergeCell ref="D206:E206"/>
    <mergeCell ref="F206:G206"/>
    <mergeCell ref="H206:I206"/>
    <mergeCell ref="J206:K206"/>
    <mergeCell ref="O207:Q207"/>
    <mergeCell ref="R207:U207"/>
    <mergeCell ref="X207:Z207"/>
    <mergeCell ref="AA207:AD207"/>
    <mergeCell ref="L206:M206"/>
    <mergeCell ref="A199:A203"/>
    <mergeCell ref="A215:A219"/>
    <mergeCell ref="B215:C215"/>
    <mergeCell ref="D215:E215"/>
    <mergeCell ref="F215:G215"/>
    <mergeCell ref="H215:I215"/>
    <mergeCell ref="J215:K215"/>
    <mergeCell ref="L215:M215"/>
    <mergeCell ref="A212:A214"/>
    <mergeCell ref="B214:C214"/>
    <mergeCell ref="D214:E214"/>
    <mergeCell ref="F214:G214"/>
    <mergeCell ref="H214:I214"/>
    <mergeCell ref="J214:K214"/>
    <mergeCell ref="O215:Q215"/>
    <mergeCell ref="R215:U215"/>
    <mergeCell ref="X215:Z215"/>
    <mergeCell ref="AA215:AD215"/>
    <mergeCell ref="L214:M214"/>
    <mergeCell ref="O223:Q223"/>
    <mergeCell ref="R223:U223"/>
    <mergeCell ref="X223:Z223"/>
    <mergeCell ref="AA223:AD223"/>
    <mergeCell ref="L222:M222"/>
    <mergeCell ref="A223:A227"/>
    <mergeCell ref="B223:C223"/>
    <mergeCell ref="D223:E223"/>
    <mergeCell ref="F223:G223"/>
    <mergeCell ref="H223:I223"/>
    <mergeCell ref="J223:K223"/>
    <mergeCell ref="L223:M223"/>
    <mergeCell ref="A220:A222"/>
    <mergeCell ref="B222:C222"/>
    <mergeCell ref="D222:E222"/>
    <mergeCell ref="F222:G222"/>
    <mergeCell ref="H222:I222"/>
    <mergeCell ref="J222:K222"/>
    <mergeCell ref="L230:M230"/>
    <mergeCell ref="A231:M231"/>
    <mergeCell ref="A232:N232"/>
    <mergeCell ref="A233:N233"/>
    <mergeCell ref="A228:A230"/>
    <mergeCell ref="B230:C230"/>
    <mergeCell ref="D230:E230"/>
    <mergeCell ref="F230:G230"/>
    <mergeCell ref="H230:I230"/>
    <mergeCell ref="J230:K230"/>
    <mergeCell ref="J238:K238"/>
    <mergeCell ref="L238:M238"/>
    <mergeCell ref="X238:Z238"/>
    <mergeCell ref="AA238:AD238"/>
    <mergeCell ref="A234:N234"/>
    <mergeCell ref="A235:N235"/>
    <mergeCell ref="A236:M236"/>
    <mergeCell ref="O237:U237"/>
    <mergeCell ref="X237:AD237"/>
    <mergeCell ref="A238:A242"/>
    <mergeCell ref="B238:C238"/>
    <mergeCell ref="D238:E238"/>
    <mergeCell ref="F238:G238"/>
    <mergeCell ref="H238:I238"/>
    <mergeCell ref="AA246:AD246"/>
    <mergeCell ref="L245:M245"/>
    <mergeCell ref="R254:U254"/>
    <mergeCell ref="X254:Z254"/>
    <mergeCell ref="AA254:AD254"/>
    <mergeCell ref="L253:M253"/>
    <mergeCell ref="A246:A250"/>
    <mergeCell ref="B246:C246"/>
    <mergeCell ref="D246:E246"/>
    <mergeCell ref="F246:G246"/>
    <mergeCell ref="H246:I246"/>
    <mergeCell ref="J246:K246"/>
    <mergeCell ref="L246:M246"/>
    <mergeCell ref="A243:A245"/>
    <mergeCell ref="B245:C245"/>
    <mergeCell ref="D245:E245"/>
    <mergeCell ref="F245:G245"/>
    <mergeCell ref="H245:I245"/>
    <mergeCell ref="J245:K245"/>
    <mergeCell ref="A251:A253"/>
    <mergeCell ref="B253:C253"/>
    <mergeCell ref="D253:E253"/>
    <mergeCell ref="F253:G253"/>
    <mergeCell ref="H253:I253"/>
    <mergeCell ref="J253:K253"/>
    <mergeCell ref="O246:Q246"/>
    <mergeCell ref="R246:U246"/>
    <mergeCell ref="X246:Z246"/>
    <mergeCell ref="A259:A261"/>
    <mergeCell ref="B261:C261"/>
    <mergeCell ref="D261:E261"/>
    <mergeCell ref="F261:G261"/>
    <mergeCell ref="H261:I261"/>
    <mergeCell ref="J261:K261"/>
    <mergeCell ref="O254:Q254"/>
    <mergeCell ref="O262:Q262"/>
    <mergeCell ref="H262:I262"/>
    <mergeCell ref="A254:A258"/>
    <mergeCell ref="B254:C254"/>
    <mergeCell ref="D254:E254"/>
    <mergeCell ref="F254:G254"/>
    <mergeCell ref="H254:I254"/>
    <mergeCell ref="J254:K254"/>
    <mergeCell ref="L254:M254"/>
    <mergeCell ref="R262:U262"/>
    <mergeCell ref="X262:Z262"/>
    <mergeCell ref="AA262:AD262"/>
    <mergeCell ref="L261:M261"/>
    <mergeCell ref="A278:M278"/>
    <mergeCell ref="A279:N279"/>
    <mergeCell ref="A280:N280"/>
    <mergeCell ref="O270:Q270"/>
    <mergeCell ref="R270:U270"/>
    <mergeCell ref="X270:Z270"/>
    <mergeCell ref="AA270:AD270"/>
    <mergeCell ref="A275:A277"/>
    <mergeCell ref="B277:C277"/>
    <mergeCell ref="D277:E277"/>
    <mergeCell ref="F277:G277"/>
    <mergeCell ref="H277:I277"/>
    <mergeCell ref="A270:A274"/>
    <mergeCell ref="B270:C270"/>
    <mergeCell ref="D270:E270"/>
    <mergeCell ref="F270:G270"/>
    <mergeCell ref="H270:I270"/>
    <mergeCell ref="J270:K270"/>
    <mergeCell ref="J262:K262"/>
    <mergeCell ref="L262:M262"/>
    <mergeCell ref="L270:M270"/>
    <mergeCell ref="A281:N281"/>
    <mergeCell ref="A282:N282"/>
    <mergeCell ref="B50:C50"/>
    <mergeCell ref="B57:C57"/>
    <mergeCell ref="B58:C58"/>
    <mergeCell ref="B65:C65"/>
    <mergeCell ref="B66:C66"/>
    <mergeCell ref="B73:C73"/>
    <mergeCell ref="B97:C97"/>
    <mergeCell ref="B104:C104"/>
    <mergeCell ref="J277:K277"/>
    <mergeCell ref="L277:M277"/>
    <mergeCell ref="L269:M269"/>
    <mergeCell ref="A267:A269"/>
    <mergeCell ref="B269:C269"/>
    <mergeCell ref="D269:E269"/>
    <mergeCell ref="F269:G269"/>
    <mergeCell ref="H269:I269"/>
    <mergeCell ref="J269:K269"/>
    <mergeCell ref="A262:A266"/>
    <mergeCell ref="B262:C262"/>
    <mergeCell ref="D262:E262"/>
    <mergeCell ref="F262:G262"/>
    <mergeCell ref="X160:Z160"/>
    <mergeCell ref="AA160:AD160"/>
    <mergeCell ref="L152:M152"/>
    <mergeCell ref="O152:Q152"/>
    <mergeCell ref="R152:U152"/>
    <mergeCell ref="X152:Z152"/>
    <mergeCell ref="AA152:AD152"/>
    <mergeCell ref="L159:M159"/>
    <mergeCell ref="L144:M144"/>
    <mergeCell ref="X144:Z144"/>
    <mergeCell ref="AA144:AD144"/>
    <mergeCell ref="J144:K144"/>
    <mergeCell ref="J151:K151"/>
    <mergeCell ref="L151:M151"/>
    <mergeCell ref="A139:N139"/>
    <mergeCell ref="A140:N140"/>
    <mergeCell ref="A141:N141"/>
    <mergeCell ref="A142:M142"/>
    <mergeCell ref="O143:U143"/>
    <mergeCell ref="X143:AD143"/>
    <mergeCell ref="A149:A151"/>
    <mergeCell ref="B151:C151"/>
    <mergeCell ref="D151:E151"/>
    <mergeCell ref="F151:G151"/>
    <mergeCell ref="H151:I151"/>
    <mergeCell ref="A144:A148"/>
    <mergeCell ref="B144:C144"/>
    <mergeCell ref="D144:E144"/>
    <mergeCell ref="F144:G144"/>
    <mergeCell ref="H144:I144"/>
    <mergeCell ref="A1:M1"/>
    <mergeCell ref="O2:U2"/>
    <mergeCell ref="X2:AD2"/>
    <mergeCell ref="A3:A7"/>
    <mergeCell ref="B3:C3"/>
    <mergeCell ref="D3:E3"/>
    <mergeCell ref="F3:G3"/>
    <mergeCell ref="H3:I3"/>
    <mergeCell ref="J3:K3"/>
    <mergeCell ref="L3:M3"/>
    <mergeCell ref="X3:Z3"/>
    <mergeCell ref="AA3:AD3"/>
    <mergeCell ref="H6:I6"/>
    <mergeCell ref="A8:A10"/>
    <mergeCell ref="B10:C10"/>
    <mergeCell ref="D10:E10"/>
    <mergeCell ref="F10:G10"/>
    <mergeCell ref="H10:I10"/>
    <mergeCell ref="J10:K10"/>
    <mergeCell ref="L10:M10"/>
    <mergeCell ref="A11:A15"/>
    <mergeCell ref="B11:C11"/>
    <mergeCell ref="D11:E11"/>
    <mergeCell ref="F11:G11"/>
    <mergeCell ref="H11:I11"/>
    <mergeCell ref="J11:K11"/>
    <mergeCell ref="L11:M11"/>
    <mergeCell ref="O11:Q11"/>
    <mergeCell ref="R11:U11"/>
    <mergeCell ref="X11:Z11"/>
    <mergeCell ref="AA11:AD11"/>
    <mergeCell ref="A16:A18"/>
    <mergeCell ref="B18:C18"/>
    <mergeCell ref="D18:E18"/>
    <mergeCell ref="F18:G18"/>
    <mergeCell ref="H18:I18"/>
    <mergeCell ref="J18:K18"/>
    <mergeCell ref="L18:M18"/>
    <mergeCell ref="X19:Z19"/>
    <mergeCell ref="AA19:AD19"/>
    <mergeCell ref="A24:A26"/>
    <mergeCell ref="B26:C26"/>
    <mergeCell ref="D26:E26"/>
    <mergeCell ref="F26:G26"/>
    <mergeCell ref="H26:I26"/>
    <mergeCell ref="J26:K26"/>
    <mergeCell ref="L26:M26"/>
    <mergeCell ref="A19:A23"/>
    <mergeCell ref="B19:C19"/>
    <mergeCell ref="D19:E19"/>
    <mergeCell ref="F19:G19"/>
    <mergeCell ref="H19:I19"/>
    <mergeCell ref="J19:K19"/>
    <mergeCell ref="L19:M19"/>
    <mergeCell ref="O19:Q19"/>
    <mergeCell ref="R19:U19"/>
    <mergeCell ref="X27:Z27"/>
    <mergeCell ref="AA27:AD27"/>
    <mergeCell ref="A32:A34"/>
    <mergeCell ref="B34:C34"/>
    <mergeCell ref="D34:E34"/>
    <mergeCell ref="F34:G34"/>
    <mergeCell ref="H34:I34"/>
    <mergeCell ref="J34:K34"/>
    <mergeCell ref="L34:M34"/>
    <mergeCell ref="A27:A31"/>
    <mergeCell ref="B27:C27"/>
    <mergeCell ref="D27:E27"/>
    <mergeCell ref="F27:G27"/>
    <mergeCell ref="H27:I27"/>
    <mergeCell ref="J27:K27"/>
    <mergeCell ref="L27:M27"/>
    <mergeCell ref="O27:Q27"/>
    <mergeCell ref="R27:U27"/>
    <mergeCell ref="A43:M43"/>
    <mergeCell ref="A44:N44"/>
    <mergeCell ref="A45:N45"/>
    <mergeCell ref="A46:N46"/>
    <mergeCell ref="A47:N47"/>
    <mergeCell ref="X35:Z35"/>
    <mergeCell ref="AA35:AD35"/>
    <mergeCell ref="A40:A42"/>
    <mergeCell ref="B42:C42"/>
    <mergeCell ref="D42:E42"/>
    <mergeCell ref="F42:G42"/>
    <mergeCell ref="H42:I42"/>
    <mergeCell ref="J42:K42"/>
    <mergeCell ref="L42:M42"/>
    <mergeCell ref="A35:A39"/>
    <mergeCell ref="B35:C35"/>
    <mergeCell ref="D35:E35"/>
    <mergeCell ref="F35:G35"/>
    <mergeCell ref="H35:I35"/>
    <mergeCell ref="J35:K35"/>
    <mergeCell ref="L35:M35"/>
    <mergeCell ref="O35:Q35"/>
    <mergeCell ref="R35:U35"/>
  </mergeCells>
  <phoneticPr fontId="3" type="noConversion"/>
  <printOptions horizontalCentered="1"/>
  <pageMargins left="0" right="0" top="0.15748031496062992" bottom="0.15748031496062992" header="0.43307086614173229" footer="0.15748031496062992"/>
  <pageSetup paperSize="9" scale="105" orientation="portrait" r:id="rId1"/>
  <headerFooter alignWithMargins="0"/>
  <rowBreaks count="4" manualBreakCount="4">
    <brk id="47" max="16383" man="1"/>
    <brk id="94" max="16383" man="1"/>
    <brk id="188" max="22" man="1"/>
    <brk id="2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2、3月菜單(貝佳)</vt:lpstr>
      <vt:lpstr>2、3月明細(午餐)</vt:lpstr>
      <vt:lpstr>'2、3月明細(午餐)'!Print_Area</vt:lpstr>
      <vt:lpstr>'2、3月菜單(貝佳)'!Print_Area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tcuser</cp:lastModifiedBy>
  <cp:lastPrinted>2020-02-20T04:19:57Z</cp:lastPrinted>
  <dcterms:created xsi:type="dcterms:W3CDTF">2016-07-22T01:11:43Z</dcterms:created>
  <dcterms:modified xsi:type="dcterms:W3CDTF">2020-02-25T02:51:13Z</dcterms:modified>
</cp:coreProperties>
</file>