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5" yWindow="419" windowWidth="20848" windowHeight="10886"/>
  </bookViews>
  <sheets>
    <sheet name="4月晚餐菜單(貝佳)" sheetId="1" r:id="rId1"/>
    <sheet name="4月明細(晚餐)" sheetId="3" r:id="rId2"/>
  </sheets>
  <definedNames>
    <definedName name="_xlnm.Print_Area" localSheetId="1">'4月明細(晚餐)'!$A$1:$W$235</definedName>
    <definedName name="_xlnm.Print_Area" localSheetId="0">'4月晚餐菜單(貝佳)'!$A$1:$I$47</definedName>
  </definedNames>
  <calcPr calcId="125725"/>
</workbook>
</file>

<file path=xl/calcChain.xml><?xml version="1.0" encoding="utf-8"?>
<calcChain xmlns="http://schemas.openxmlformats.org/spreadsheetml/2006/main">
  <c r="B38" i="1"/>
  <c r="B29"/>
  <c r="B20"/>
  <c r="B11"/>
  <c r="Y153" i="3"/>
  <c r="Y154"/>
  <c r="Y115"/>
  <c r="Y114"/>
  <c r="Y179" l="1"/>
  <c r="Y178"/>
  <c r="Y177"/>
  <c r="Y171"/>
  <c r="Y170"/>
  <c r="Y169"/>
  <c r="Y163"/>
  <c r="Y162"/>
  <c r="Y161"/>
  <c r="Y155"/>
  <c r="Y147"/>
  <c r="Y146"/>
  <c r="Y145"/>
  <c r="Y194"/>
  <c r="Y193"/>
  <c r="Y192"/>
  <c r="Y202"/>
  <c r="Y201"/>
  <c r="Y200"/>
  <c r="Y210"/>
  <c r="Y209"/>
  <c r="Y208"/>
  <c r="Y218"/>
  <c r="Y217"/>
  <c r="Y216"/>
  <c r="Y132"/>
  <c r="Y131"/>
  <c r="Y130"/>
  <c r="Y124"/>
  <c r="Y116"/>
  <c r="Y85"/>
  <c r="Y84"/>
  <c r="Y83"/>
  <c r="Y77"/>
  <c r="Y76"/>
  <c r="Y75"/>
  <c r="Y69"/>
  <c r="Y68"/>
  <c r="Y67"/>
  <c r="Y61"/>
  <c r="Y60"/>
  <c r="Y59"/>
  <c r="Y53"/>
  <c r="Y52"/>
  <c r="Y51"/>
  <c r="Y22"/>
  <c r="Y21"/>
  <c r="Y20"/>
  <c r="Y100"/>
  <c r="Y98"/>
  <c r="Y99" l="1"/>
  <c r="H46" i="1" l="1"/>
  <c r="B46"/>
  <c r="H37"/>
  <c r="D28"/>
  <c r="Y123" i="3"/>
  <c r="Y122"/>
  <c r="Y117"/>
  <c r="Y108"/>
  <c r="Y107"/>
  <c r="Y106"/>
  <c r="Y226" l="1"/>
  <c r="P226"/>
  <c r="Y225"/>
  <c r="AB226" s="1"/>
  <c r="W226" s="1"/>
  <c r="P225"/>
  <c r="S226" s="1"/>
  <c r="Y224"/>
  <c r="P224"/>
  <c r="P218"/>
  <c r="AB218"/>
  <c r="P217"/>
  <c r="S218" s="1"/>
  <c r="P216"/>
  <c r="P210"/>
  <c r="P209"/>
  <c r="S210" s="1"/>
  <c r="P208"/>
  <c r="P202"/>
  <c r="AB202"/>
  <c r="W202" s="1"/>
  <c r="P201"/>
  <c r="P200"/>
  <c r="P193"/>
  <c r="P192"/>
  <c r="S193" s="1"/>
  <c r="N194" s="1"/>
  <c r="P191"/>
  <c r="P179"/>
  <c r="AB179"/>
  <c r="P178"/>
  <c r="S179" s="1"/>
  <c r="P177"/>
  <c r="P171"/>
  <c r="P170"/>
  <c r="S171" s="1"/>
  <c r="P169"/>
  <c r="P163"/>
  <c r="AB163"/>
  <c r="W163" s="1"/>
  <c r="P162"/>
  <c r="P161"/>
  <c r="P155"/>
  <c r="AB155"/>
  <c r="W155" s="1"/>
  <c r="P154"/>
  <c r="S155" s="1"/>
  <c r="N155" s="1"/>
  <c r="P153"/>
  <c r="AB147"/>
  <c r="W147" s="1"/>
  <c r="P146"/>
  <c r="P145"/>
  <c r="S146" s="1"/>
  <c r="P144"/>
  <c r="AB131"/>
  <c r="P132"/>
  <c r="AB132"/>
  <c r="W132" s="1"/>
  <c r="P131"/>
  <c r="S132" s="1"/>
  <c r="N132" s="1"/>
  <c r="P130"/>
  <c r="P124"/>
  <c r="AB124"/>
  <c r="W124" s="1"/>
  <c r="P123"/>
  <c r="P122"/>
  <c r="P116"/>
  <c r="AB116"/>
  <c r="W116" s="1"/>
  <c r="P115"/>
  <c r="S116" s="1"/>
  <c r="N116" s="1"/>
  <c r="P114"/>
  <c r="P108"/>
  <c r="AB108"/>
  <c r="P107"/>
  <c r="S108" s="1"/>
  <c r="P106"/>
  <c r="AB100"/>
  <c r="P99"/>
  <c r="P98"/>
  <c r="S99" s="1"/>
  <c r="P97"/>
  <c r="P85"/>
  <c r="AB85"/>
  <c r="W85" s="1"/>
  <c r="P84"/>
  <c r="S85" s="1"/>
  <c r="N85" s="1"/>
  <c r="P83"/>
  <c r="P77"/>
  <c r="AB77"/>
  <c r="P76"/>
  <c r="S77" s="1"/>
  <c r="P75"/>
  <c r="AB68"/>
  <c r="W67" s="1"/>
  <c r="P69"/>
  <c r="P68"/>
  <c r="S69" s="1"/>
  <c r="N69" s="1"/>
  <c r="P67"/>
  <c r="P61"/>
  <c r="AB61"/>
  <c r="P60"/>
  <c r="S61" s="1"/>
  <c r="N61" s="1"/>
  <c r="P59"/>
  <c r="AB53"/>
  <c r="W53" s="1"/>
  <c r="P52"/>
  <c r="P51"/>
  <c r="S52" s="1"/>
  <c r="N53" s="1"/>
  <c r="P50"/>
  <c r="AB38"/>
  <c r="AD38" s="1"/>
  <c r="Y38"/>
  <c r="P38"/>
  <c r="Y37"/>
  <c r="P37"/>
  <c r="Y36"/>
  <c r="Y42" s="1"/>
  <c r="AB36" s="1"/>
  <c r="P36"/>
  <c r="Y30"/>
  <c r="P30"/>
  <c r="Y29"/>
  <c r="P29"/>
  <c r="S30" s="1"/>
  <c r="N30" s="1"/>
  <c r="Y28"/>
  <c r="AB29" s="1"/>
  <c r="W28" s="1"/>
  <c r="P28"/>
  <c r="P22"/>
  <c r="AB22"/>
  <c r="W22" s="1"/>
  <c r="P21"/>
  <c r="P20"/>
  <c r="Y14"/>
  <c r="P14"/>
  <c r="Y13"/>
  <c r="AB14" s="1"/>
  <c r="W14" s="1"/>
  <c r="S13"/>
  <c r="N12" s="1"/>
  <c r="P13"/>
  <c r="S14" s="1"/>
  <c r="N14" s="1"/>
  <c r="Y12"/>
  <c r="P12"/>
  <c r="A11"/>
  <c r="A19" s="1"/>
  <c r="A27" s="1"/>
  <c r="A35" s="1"/>
  <c r="A50" s="1"/>
  <c r="A58" s="1"/>
  <c r="A66" s="1"/>
  <c r="A74" s="1"/>
  <c r="A82" s="1"/>
  <c r="A97" s="1"/>
  <c r="A105" s="1"/>
  <c r="A113" s="1"/>
  <c r="A121" s="1"/>
  <c r="A129" s="1"/>
  <c r="A144" s="1"/>
  <c r="A152" s="1"/>
  <c r="A160" s="1"/>
  <c r="A168" s="1"/>
  <c r="A176" s="1"/>
  <c r="A191" s="1"/>
  <c r="A199" s="1"/>
  <c r="A207" s="1"/>
  <c r="A215" s="1"/>
  <c r="P9"/>
  <c r="S3" s="1"/>
  <c r="Y6"/>
  <c r="S6"/>
  <c r="U6" s="1"/>
  <c r="Y5"/>
  <c r="AB6" s="1"/>
  <c r="W6" s="1"/>
  <c r="S5"/>
  <c r="Y4"/>
  <c r="S4"/>
  <c r="N4" s="1"/>
  <c r="S60" l="1"/>
  <c r="N59" s="1"/>
  <c r="Y34"/>
  <c r="S31"/>
  <c r="N32" s="1"/>
  <c r="S15"/>
  <c r="S192"/>
  <c r="N192" s="1"/>
  <c r="S76"/>
  <c r="N75" s="1"/>
  <c r="Y222"/>
  <c r="W222" s="1"/>
  <c r="S219"/>
  <c r="N220" s="1"/>
  <c r="AB133"/>
  <c r="W134" s="1"/>
  <c r="AB107"/>
  <c r="W106" s="1"/>
  <c r="Y73"/>
  <c r="W73" s="1"/>
  <c r="F19" i="1" s="1"/>
  <c r="S21" i="3"/>
  <c r="N20" s="1"/>
  <c r="AB195"/>
  <c r="W196" s="1"/>
  <c r="AB193"/>
  <c r="W192" s="1"/>
  <c r="Y198"/>
  <c r="W198" s="1"/>
  <c r="P206"/>
  <c r="N206" s="1"/>
  <c r="AB203"/>
  <c r="W204" s="1"/>
  <c r="AB211"/>
  <c r="W212" s="1"/>
  <c r="AB217"/>
  <c r="W216" s="1"/>
  <c r="P222"/>
  <c r="N222" s="1"/>
  <c r="S201"/>
  <c r="N200" s="1"/>
  <c r="AB209"/>
  <c r="W208" s="1"/>
  <c r="S203"/>
  <c r="N204" s="1"/>
  <c r="S209"/>
  <c r="N208" s="1"/>
  <c r="P183"/>
  <c r="N183" s="1"/>
  <c r="S180"/>
  <c r="N181" s="1"/>
  <c r="Y183"/>
  <c r="AB178"/>
  <c r="W177" s="1"/>
  <c r="AB170"/>
  <c r="W169" s="1"/>
  <c r="AB172"/>
  <c r="W173" s="1"/>
  <c r="S164"/>
  <c r="N165" s="1"/>
  <c r="AB164"/>
  <c r="W165" s="1"/>
  <c r="P167"/>
  <c r="N167" s="1"/>
  <c r="P159"/>
  <c r="S153" s="1"/>
  <c r="U155" s="1"/>
  <c r="S162"/>
  <c r="N161" s="1"/>
  <c r="S154"/>
  <c r="S156"/>
  <c r="N157" s="1"/>
  <c r="AB146"/>
  <c r="W145" s="1"/>
  <c r="Y151"/>
  <c r="W151" s="1"/>
  <c r="B37" i="1" s="1"/>
  <c r="Y128" i="3"/>
  <c r="AB122" s="1"/>
  <c r="AD124" s="1"/>
  <c r="S123"/>
  <c r="N122" s="1"/>
  <c r="S125"/>
  <c r="N126" s="1"/>
  <c r="P112"/>
  <c r="N112" s="1"/>
  <c r="AB109"/>
  <c r="W110" s="1"/>
  <c r="S37"/>
  <c r="N36" s="1"/>
  <c r="S39"/>
  <c r="N40" s="1"/>
  <c r="AB86"/>
  <c r="W87" s="1"/>
  <c r="Y89"/>
  <c r="W89" s="1"/>
  <c r="S86"/>
  <c r="N87" s="1"/>
  <c r="Y81"/>
  <c r="AB75" s="1"/>
  <c r="AD77" s="1"/>
  <c r="S70"/>
  <c r="N71" s="1"/>
  <c r="P65"/>
  <c r="N65" s="1"/>
  <c r="Y65"/>
  <c r="AB59" s="1"/>
  <c r="AD61" s="1"/>
  <c r="S62"/>
  <c r="N63" s="1"/>
  <c r="P56"/>
  <c r="S50" s="1"/>
  <c r="U52" s="1"/>
  <c r="S78"/>
  <c r="N79" s="1"/>
  <c r="Y57"/>
  <c r="AB51" s="1"/>
  <c r="AD53" s="1"/>
  <c r="S23"/>
  <c r="N24" s="1"/>
  <c r="Y26"/>
  <c r="AB20" s="1"/>
  <c r="AD22" s="1"/>
  <c r="N16"/>
  <c r="W57"/>
  <c r="B19" i="1" s="1"/>
  <c r="W34" i="3"/>
  <c r="AB28"/>
  <c r="P89"/>
  <c r="N100"/>
  <c r="AB117"/>
  <c r="AB115"/>
  <c r="Y120"/>
  <c r="S133"/>
  <c r="P136"/>
  <c r="S131"/>
  <c r="AB15"/>
  <c r="AB13"/>
  <c r="S22"/>
  <c r="AB52"/>
  <c r="S59"/>
  <c r="P73"/>
  <c r="S84"/>
  <c r="W100"/>
  <c r="S124"/>
  <c r="N147"/>
  <c r="W218"/>
  <c r="N6"/>
  <c r="U5"/>
  <c r="N8"/>
  <c r="AB23"/>
  <c r="W130"/>
  <c r="N171"/>
  <c r="U4"/>
  <c r="U7" s="1"/>
  <c r="P18"/>
  <c r="P26"/>
  <c r="AB21"/>
  <c r="Y10"/>
  <c r="AB7"/>
  <c r="AB5"/>
  <c r="Y18"/>
  <c r="AD29"/>
  <c r="AB31"/>
  <c r="P34"/>
  <c r="S38"/>
  <c r="AB54"/>
  <c r="S68"/>
  <c r="AB76"/>
  <c r="W77"/>
  <c r="AB78"/>
  <c r="P103"/>
  <c r="S100"/>
  <c r="S98"/>
  <c r="Y104"/>
  <c r="AB101"/>
  <c r="AB99"/>
  <c r="N108"/>
  <c r="P197"/>
  <c r="N210"/>
  <c r="N226"/>
  <c r="N10"/>
  <c r="S29"/>
  <c r="AB30"/>
  <c r="AB37"/>
  <c r="W38"/>
  <c r="AB39"/>
  <c r="W42"/>
  <c r="AB60"/>
  <c r="W61"/>
  <c r="AB62"/>
  <c r="AB70"/>
  <c r="AB69"/>
  <c r="N77"/>
  <c r="W108"/>
  <c r="S117"/>
  <c r="S115"/>
  <c r="P120"/>
  <c r="S147"/>
  <c r="S145"/>
  <c r="P150"/>
  <c r="P42"/>
  <c r="S51"/>
  <c r="S53"/>
  <c r="P81"/>
  <c r="S107"/>
  <c r="AB123"/>
  <c r="AB125"/>
  <c r="AB194"/>
  <c r="Y206"/>
  <c r="AB201"/>
  <c r="N218"/>
  <c r="AB156"/>
  <c r="AB154"/>
  <c r="AB171"/>
  <c r="Y175"/>
  <c r="AB210"/>
  <c r="Y214"/>
  <c r="S227"/>
  <c r="S225"/>
  <c r="AB84"/>
  <c r="Y112"/>
  <c r="S109"/>
  <c r="P128"/>
  <c r="Y136"/>
  <c r="Y159"/>
  <c r="Y167"/>
  <c r="AB162"/>
  <c r="W179"/>
  <c r="S194"/>
  <c r="AB227"/>
  <c r="AB225"/>
  <c r="Y230"/>
  <c r="P230"/>
  <c r="S163"/>
  <c r="S172"/>
  <c r="S202"/>
  <c r="S211"/>
  <c r="S170"/>
  <c r="P175"/>
  <c r="S178"/>
  <c r="N179"/>
  <c r="AB180"/>
  <c r="P214"/>
  <c r="S217"/>
  <c r="AB219"/>
  <c r="AB148"/>
  <c r="U60" l="1"/>
  <c r="U63" s="1"/>
  <c r="S106"/>
  <c r="U108" s="1"/>
  <c r="AB216"/>
  <c r="AD218" s="1"/>
  <c r="S216"/>
  <c r="U218" s="1"/>
  <c r="S200"/>
  <c r="U201" s="1"/>
  <c r="U204" s="1"/>
  <c r="S177"/>
  <c r="U179" s="1"/>
  <c r="U156"/>
  <c r="AB83"/>
  <c r="AD86" s="1"/>
  <c r="AB67"/>
  <c r="AD68" s="1"/>
  <c r="AB192"/>
  <c r="AD195" s="1"/>
  <c r="AD217"/>
  <c r="W183"/>
  <c r="AB177"/>
  <c r="U180"/>
  <c r="S161"/>
  <c r="U164" s="1"/>
  <c r="N159"/>
  <c r="N153"/>
  <c r="U154"/>
  <c r="U157" s="1"/>
  <c r="AB145"/>
  <c r="AD147" s="1"/>
  <c r="W128"/>
  <c r="H28" i="1" s="1"/>
  <c r="W81" i="3"/>
  <c r="H19" i="1" s="1"/>
  <c r="W65" i="3"/>
  <c r="D19" i="1" s="1"/>
  <c r="U62" i="3"/>
  <c r="U61"/>
  <c r="N57"/>
  <c r="W26"/>
  <c r="F10" i="1" s="1"/>
  <c r="N216" i="3"/>
  <c r="N173"/>
  <c r="AB130"/>
  <c r="W136"/>
  <c r="AB208"/>
  <c r="AD210" s="1"/>
  <c r="W214"/>
  <c r="F46" i="1" s="1"/>
  <c r="W157" i="3"/>
  <c r="W200"/>
  <c r="N81"/>
  <c r="S75"/>
  <c r="N151"/>
  <c r="S144"/>
  <c r="U146" s="1"/>
  <c r="N114"/>
  <c r="W69"/>
  <c r="W98"/>
  <c r="N102"/>
  <c r="N34"/>
  <c r="S28"/>
  <c r="W18"/>
  <c r="AB12"/>
  <c r="AD14" s="1"/>
  <c r="W20"/>
  <c r="AD21"/>
  <c r="N83"/>
  <c r="AD52"/>
  <c r="W51"/>
  <c r="W120"/>
  <c r="F28" i="1" s="1"/>
  <c r="AB114" i="3"/>
  <c r="AD116" s="1"/>
  <c r="N214"/>
  <c r="S208"/>
  <c r="N212"/>
  <c r="N163"/>
  <c r="W228"/>
  <c r="W161"/>
  <c r="W83"/>
  <c r="W210"/>
  <c r="AB169"/>
  <c r="AD171" s="1"/>
  <c r="W175"/>
  <c r="AB200"/>
  <c r="W206"/>
  <c r="D46" i="1" s="1"/>
  <c r="W126" i="3"/>
  <c r="AD125"/>
  <c r="N55"/>
  <c r="U53"/>
  <c r="N145"/>
  <c r="N118"/>
  <c r="W71"/>
  <c r="AD60"/>
  <c r="W59"/>
  <c r="AD37"/>
  <c r="W36"/>
  <c r="N198"/>
  <c r="S191"/>
  <c r="W102"/>
  <c r="S97"/>
  <c r="U99" s="1"/>
  <c r="N104"/>
  <c r="AD76"/>
  <c r="W75"/>
  <c r="W32"/>
  <c r="AD31"/>
  <c r="AD32" s="1"/>
  <c r="W4"/>
  <c r="S20"/>
  <c r="U22" s="1"/>
  <c r="N26"/>
  <c r="N124"/>
  <c r="AD13"/>
  <c r="W12"/>
  <c r="N130"/>
  <c r="W114"/>
  <c r="W181"/>
  <c r="N169"/>
  <c r="W224"/>
  <c r="W112"/>
  <c r="AB106"/>
  <c r="W149"/>
  <c r="N177"/>
  <c r="N202"/>
  <c r="S224"/>
  <c r="U226" s="1"/>
  <c r="N230"/>
  <c r="N196"/>
  <c r="AB161"/>
  <c r="AD162" s="1"/>
  <c r="W167"/>
  <c r="F37" i="1" s="1"/>
  <c r="N128" i="3"/>
  <c r="S122"/>
  <c r="N224"/>
  <c r="W171"/>
  <c r="W194"/>
  <c r="W122"/>
  <c r="AD123"/>
  <c r="N51"/>
  <c r="U51"/>
  <c r="N149"/>
  <c r="W30"/>
  <c r="AD30"/>
  <c r="AB98"/>
  <c r="AD100" s="1"/>
  <c r="W104"/>
  <c r="B28" i="1" s="1"/>
  <c r="W55" i="3"/>
  <c r="AD54"/>
  <c r="W8"/>
  <c r="S12"/>
  <c r="N18"/>
  <c r="W16"/>
  <c r="AD15"/>
  <c r="N136"/>
  <c r="S130"/>
  <c r="U132" s="1"/>
  <c r="W118"/>
  <c r="W220"/>
  <c r="N175"/>
  <c r="S169"/>
  <c r="U171" s="1"/>
  <c r="W230"/>
  <c r="AB224"/>
  <c r="AD226" s="1"/>
  <c r="W159"/>
  <c r="D37" i="1" s="1"/>
  <c r="AB153" i="3"/>
  <c r="AD155" s="1"/>
  <c r="N110"/>
  <c r="U109"/>
  <c r="N228"/>
  <c r="U227"/>
  <c r="W153"/>
  <c r="U107"/>
  <c r="U110" s="1"/>
  <c r="N106"/>
  <c r="N42"/>
  <c r="S36"/>
  <c r="U38" s="1"/>
  <c r="S114"/>
  <c r="U116" s="1"/>
  <c r="N120"/>
  <c r="AD62"/>
  <c r="W63"/>
  <c r="AD39"/>
  <c r="W40"/>
  <c r="U29"/>
  <c r="N28"/>
  <c r="N98"/>
  <c r="U98"/>
  <c r="AD78"/>
  <c r="W79"/>
  <c r="N67"/>
  <c r="N38"/>
  <c r="AB4"/>
  <c r="AD6" s="1"/>
  <c r="W10"/>
  <c r="W24"/>
  <c r="AD23"/>
  <c r="N73"/>
  <c r="S67"/>
  <c r="N22"/>
  <c r="N134"/>
  <c r="S83"/>
  <c r="U84" s="1"/>
  <c r="U87" s="1"/>
  <c r="N89"/>
  <c r="AD5" l="1"/>
  <c r="AD219"/>
  <c r="AD220" s="1"/>
  <c r="U219"/>
  <c r="U217"/>
  <c r="U220" s="1"/>
  <c r="U202"/>
  <c r="U203"/>
  <c r="AD193"/>
  <c r="U178"/>
  <c r="U181" s="1"/>
  <c r="AD115"/>
  <c r="AD84"/>
  <c r="AD85"/>
  <c r="AD69"/>
  <c r="AD70"/>
  <c r="U54"/>
  <c r="AD194"/>
  <c r="AD178"/>
  <c r="AD179"/>
  <c r="AD180"/>
  <c r="U163"/>
  <c r="U162"/>
  <c r="U165" s="1"/>
  <c r="AD148"/>
  <c r="AD146"/>
  <c r="AD117"/>
  <c r="U115"/>
  <c r="U118" s="1"/>
  <c r="U100"/>
  <c r="U101" s="1"/>
  <c r="AD55"/>
  <c r="AD202"/>
  <c r="AD203"/>
  <c r="AD201"/>
  <c r="U172"/>
  <c r="U85"/>
  <c r="U86"/>
  <c r="AD154"/>
  <c r="U14"/>
  <c r="U15"/>
  <c r="U13"/>
  <c r="U16" s="1"/>
  <c r="U225"/>
  <c r="U228" s="1"/>
  <c r="AD108"/>
  <c r="AD109"/>
  <c r="AD107"/>
  <c r="AD79"/>
  <c r="AD101"/>
  <c r="AD40"/>
  <c r="U145"/>
  <c r="U209"/>
  <c r="U212" s="1"/>
  <c r="U210"/>
  <c r="AD24"/>
  <c r="U30"/>
  <c r="U32" s="1"/>
  <c r="U31"/>
  <c r="AD99"/>
  <c r="AD211"/>
  <c r="AD209"/>
  <c r="U37"/>
  <c r="U39"/>
  <c r="U131"/>
  <c r="U134" s="1"/>
  <c r="U133"/>
  <c r="U69"/>
  <c r="U70"/>
  <c r="AD163"/>
  <c r="AD164"/>
  <c r="U170"/>
  <c r="U173" s="1"/>
  <c r="AD16"/>
  <c r="U193"/>
  <c r="U192"/>
  <c r="U77"/>
  <c r="U76"/>
  <c r="U78"/>
  <c r="AD156"/>
  <c r="U68"/>
  <c r="U71" s="1"/>
  <c r="AD7"/>
  <c r="AD8" s="1"/>
  <c r="U147"/>
  <c r="AD126"/>
  <c r="U123"/>
  <c r="U126" s="1"/>
  <c r="U125"/>
  <c r="U194"/>
  <c r="AD225"/>
  <c r="U124"/>
  <c r="U23"/>
  <c r="U21"/>
  <c r="AD63"/>
  <c r="U117"/>
  <c r="AD172"/>
  <c r="AD170"/>
  <c r="AD227"/>
  <c r="U211"/>
  <c r="AD132"/>
  <c r="AD131"/>
  <c r="AD133"/>
  <c r="AD212" l="1"/>
  <c r="AD102"/>
  <c r="AD196"/>
  <c r="AD118"/>
  <c r="AD87"/>
  <c r="AD71"/>
  <c r="AD204"/>
  <c r="AD181"/>
  <c r="AD173"/>
  <c r="AD165"/>
  <c r="AD149"/>
  <c r="U148"/>
  <c r="AD110"/>
  <c r="AD134"/>
  <c r="U24"/>
  <c r="AD228"/>
  <c r="U195"/>
  <c r="U40"/>
  <c r="AD157"/>
  <c r="U79"/>
  <c r="D2" i="1" l="1"/>
  <c r="F2" s="1"/>
  <c r="H2" s="1"/>
  <c r="D11" s="1"/>
  <c r="F11" s="1"/>
  <c r="H11" s="1"/>
  <c r="D20" s="1"/>
  <c r="F20" s="1"/>
  <c r="H20" s="1"/>
  <c r="D29" s="1"/>
  <c r="F29" s="1"/>
  <c r="H29" s="1"/>
  <c r="D38" s="1"/>
  <c r="F38" s="1"/>
  <c r="H38" s="1"/>
</calcChain>
</file>

<file path=xl/sharedStrings.xml><?xml version="1.0" encoding="utf-8"?>
<sst xmlns="http://schemas.openxmlformats.org/spreadsheetml/2006/main" count="2170" uniqueCount="424">
  <si>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</si>
  <si>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</si>
  <si>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</si>
  <si>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</si>
  <si>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熱量(kcal)</t>
    <phoneticPr fontId="3" type="noConversion"/>
  </si>
  <si>
    <t>星期一</t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</si>
  <si>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</si>
  <si>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</si>
  <si>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</si>
  <si>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</si>
  <si>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熱量(kcal)</t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</si>
  <si>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</si>
  <si>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</si>
  <si>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</si>
  <si>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</si>
  <si>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熱量(kcal)</t>
    <phoneticPr fontId="3" type="noConversion"/>
  </si>
  <si>
    <t>有任何問題，請找貝佳服務人員，謝謝您!</t>
    <phoneticPr fontId="3" type="noConversion"/>
  </si>
  <si>
    <t>香Q米飯</t>
    <phoneticPr fontId="3" type="noConversion"/>
  </si>
  <si>
    <t>胚米飯</t>
    <phoneticPr fontId="3" type="noConversion"/>
  </si>
  <si>
    <t>小米飯</t>
    <phoneticPr fontId="3" type="noConversion"/>
  </si>
  <si>
    <t>鵝白菜</t>
    <phoneticPr fontId="3" type="noConversion"/>
  </si>
  <si>
    <t>小白菜</t>
    <phoneticPr fontId="3" type="noConversion"/>
  </si>
  <si>
    <t>油菜</t>
    <phoneticPr fontId="3" type="noConversion"/>
  </si>
  <si>
    <t>青江菜</t>
    <phoneticPr fontId="3" type="noConversion"/>
  </si>
  <si>
    <t>空心菜</t>
    <phoneticPr fontId="3" type="noConversion"/>
  </si>
  <si>
    <t>炭烤大排</t>
    <phoneticPr fontId="3" type="noConversion"/>
  </si>
  <si>
    <t>洋蔥炒蛋</t>
    <phoneticPr fontId="3" type="noConversion"/>
  </si>
  <si>
    <t>雞塊雙拼</t>
    <phoneticPr fontId="3" type="noConversion"/>
  </si>
  <si>
    <t>八寶肉醬</t>
    <phoneticPr fontId="3" type="noConversion"/>
  </si>
  <si>
    <t>鮮蔬炒粄條</t>
    <phoneticPr fontId="3" type="noConversion"/>
  </si>
  <si>
    <t>薑絲紫菜湯</t>
    <phoneticPr fontId="3" type="noConversion"/>
  </si>
  <si>
    <t>香滷腿排</t>
    <phoneticPr fontId="3" type="noConversion"/>
  </si>
  <si>
    <t>小瓜甜不辣</t>
    <phoneticPr fontId="3" type="noConversion"/>
  </si>
  <si>
    <t>珍珠豆沙包</t>
    <phoneticPr fontId="3" type="noConversion"/>
  </si>
  <si>
    <t>烤柳葉魚</t>
    <phoneticPr fontId="3" type="noConversion"/>
  </si>
  <si>
    <t>白花炒肉片</t>
    <phoneticPr fontId="3" type="noConversion"/>
  </si>
  <si>
    <t>蒙古高麗菜</t>
    <phoneticPr fontId="3" type="noConversion"/>
  </si>
  <si>
    <t>家常豆腐</t>
    <phoneticPr fontId="3" type="noConversion"/>
  </si>
  <si>
    <t>滷味水晶餃</t>
    <phoneticPr fontId="3" type="noConversion"/>
  </si>
  <si>
    <t>檸檬愛玉</t>
    <phoneticPr fontId="3" type="noConversion"/>
  </si>
  <si>
    <t>仙草蜜</t>
    <phoneticPr fontId="3" type="noConversion"/>
  </si>
  <si>
    <t>紅豆西米露</t>
    <phoneticPr fontId="3" type="noConversion"/>
  </si>
  <si>
    <t>枸杞冬瓜湯</t>
    <phoneticPr fontId="3" type="noConversion"/>
  </si>
  <si>
    <t>筍片雞湯</t>
    <phoneticPr fontId="3" type="noConversion"/>
  </si>
  <si>
    <t>黃瓜貢丸湯</t>
    <phoneticPr fontId="3" type="noConversion"/>
  </si>
  <si>
    <t>冬瓜雞湯</t>
    <phoneticPr fontId="3" type="noConversion"/>
  </si>
  <si>
    <t>家常炒麵</t>
    <phoneticPr fontId="3" type="noConversion"/>
  </si>
  <si>
    <t>肉絲炒飯</t>
    <phoneticPr fontId="3" type="noConversion"/>
  </si>
  <si>
    <t>白醬義大利麵</t>
    <phoneticPr fontId="3" type="noConversion"/>
  </si>
  <si>
    <t>第6週</t>
    <phoneticPr fontId="3" type="noConversion"/>
  </si>
  <si>
    <t>第7週</t>
    <phoneticPr fontId="3" type="noConversion"/>
  </si>
  <si>
    <t>第8週</t>
    <phoneticPr fontId="3" type="noConversion"/>
  </si>
  <si>
    <t>第9週</t>
    <phoneticPr fontId="3" type="noConversion"/>
  </si>
  <si>
    <t>第10週</t>
    <phoneticPr fontId="3" type="noConversion"/>
  </si>
  <si>
    <t>夏威夷炒飯</t>
    <phoneticPr fontId="3" type="noConversion"/>
  </si>
  <si>
    <t>韭菜黑輪</t>
    <phoneticPr fontId="3" type="noConversion"/>
  </si>
  <si>
    <t>彩繪福州丸</t>
    <phoneticPr fontId="3" type="noConversion"/>
  </si>
  <si>
    <t>鮮蔬燒肉</t>
    <phoneticPr fontId="3" type="noConversion"/>
  </si>
  <si>
    <t>日期</t>
    <phoneticPr fontId="3" type="noConversion"/>
  </si>
  <si>
    <t>主菜</t>
    <phoneticPr fontId="3" type="noConversion"/>
  </si>
  <si>
    <t>重量(g)</t>
    <phoneticPr fontId="3" type="noConversion"/>
  </si>
  <si>
    <t>副菜</t>
    <phoneticPr fontId="3" type="noConversion"/>
  </si>
  <si>
    <t>青菜</t>
    <phoneticPr fontId="3" type="noConversion"/>
  </si>
  <si>
    <t>湯</t>
    <phoneticPr fontId="3" type="noConversion"/>
  </si>
  <si>
    <t>主食</t>
    <phoneticPr fontId="3" type="noConversion"/>
  </si>
  <si>
    <t xml:space="preserve">營養分析 </t>
    <phoneticPr fontId="3" type="noConversion"/>
  </si>
  <si>
    <t>營養分析</t>
    <phoneticPr fontId="3" type="noConversion"/>
  </si>
  <si>
    <t>醣類g：</t>
    <phoneticPr fontId="3" type="noConversion"/>
  </si>
  <si>
    <t>全穀雜糧類</t>
  </si>
  <si>
    <t>份</t>
    <phoneticPr fontId="3" type="noConversion"/>
  </si>
  <si>
    <t>熱量</t>
    <phoneticPr fontId="3" type="noConversion"/>
  </si>
  <si>
    <t>Kcal</t>
    <phoneticPr fontId="3" type="noConversion"/>
  </si>
  <si>
    <t>%</t>
    <phoneticPr fontId="3" type="noConversion"/>
  </si>
  <si>
    <t>食物六大類</t>
    <phoneticPr fontId="3" type="noConversion"/>
  </si>
  <si>
    <t>三大營養素</t>
    <phoneticPr fontId="3" type="noConversion"/>
  </si>
  <si>
    <t>豆魚蛋肉類</t>
  </si>
  <si>
    <t>醣類</t>
    <phoneticPr fontId="3" type="noConversion"/>
  </si>
  <si>
    <t>g</t>
    <phoneticPr fontId="3" type="noConversion"/>
  </si>
  <si>
    <t>脂肪g：</t>
    <phoneticPr fontId="3" type="noConversion"/>
  </si>
  <si>
    <t>蔬菜類</t>
    <phoneticPr fontId="3" type="noConversion"/>
  </si>
  <si>
    <t>脂質</t>
    <phoneticPr fontId="3" type="noConversion"/>
  </si>
  <si>
    <t>水果類</t>
    <phoneticPr fontId="3" type="noConversion"/>
  </si>
  <si>
    <t>蛋白質</t>
    <phoneticPr fontId="3" type="noConversion"/>
  </si>
  <si>
    <t>蛋白質g：</t>
    <phoneticPr fontId="3" type="noConversion"/>
  </si>
  <si>
    <t>乳品類</t>
  </si>
  <si>
    <t>星期一</t>
    <phoneticPr fontId="3" type="noConversion"/>
  </si>
  <si>
    <t>油脂與堅果種子類</t>
    <phoneticPr fontId="3" type="noConversion"/>
  </si>
  <si>
    <t>熱量kcal：</t>
    <phoneticPr fontId="3" type="noConversion"/>
  </si>
  <si>
    <t>食材總熱量</t>
    <phoneticPr fontId="3" type="noConversion"/>
  </si>
  <si>
    <t>星期二</t>
    <phoneticPr fontId="3" type="noConversion"/>
  </si>
  <si>
    <t>季節蔬菜</t>
    <phoneticPr fontId="3" type="noConversion"/>
  </si>
  <si>
    <t>白米</t>
    <phoneticPr fontId="3" type="noConversion"/>
  </si>
  <si>
    <t>廢棄率</t>
    <phoneticPr fontId="3" type="noConversion"/>
  </si>
  <si>
    <t>星期三</t>
    <phoneticPr fontId="3" type="noConversion"/>
  </si>
  <si>
    <t>煮</t>
    <phoneticPr fontId="3" type="noConversion"/>
  </si>
  <si>
    <t>滷</t>
    <phoneticPr fontId="3" type="noConversion"/>
  </si>
  <si>
    <t>燙</t>
    <phoneticPr fontId="3" type="noConversion"/>
  </si>
  <si>
    <t>蒸</t>
    <phoneticPr fontId="3" type="noConversion"/>
  </si>
  <si>
    <t>放假</t>
    <phoneticPr fontId="3" type="noConversion"/>
  </si>
  <si>
    <t>星期四</t>
    <phoneticPr fontId="3" type="noConversion"/>
  </si>
  <si>
    <t>放假</t>
  </si>
  <si>
    <t>星期五</t>
    <phoneticPr fontId="3" type="noConversion"/>
  </si>
  <si>
    <t>1人1餐份數*____餐</t>
    <phoneticPr fontId="3" type="noConversion"/>
  </si>
  <si>
    <t>菜單開立均是以可食量(EP)計算</t>
    <phoneticPr fontId="3" type="noConversion"/>
  </si>
  <si>
    <t>每週一、三、五提供深綠色蔬菜 (有機蔬菜菜名需待前一週農民告知)</t>
    <phoneticPr fontId="3" type="noConversion"/>
  </si>
  <si>
    <t>全面使用非基改豆製品</t>
    <phoneticPr fontId="3" type="noConversion"/>
  </si>
  <si>
    <t>水果若是香蕉為2份；蘋果、芭樂、橘子為1份；小番茄、葡萄等為0.3份(水果需待前一週廠商告知)</t>
    <phoneticPr fontId="3" type="noConversion"/>
  </si>
  <si>
    <t>炒</t>
    <phoneticPr fontId="3" type="noConversion"/>
  </si>
  <si>
    <t>燒</t>
    <phoneticPr fontId="3" type="noConversion"/>
  </si>
  <si>
    <t>蔬菜類</t>
    <phoneticPr fontId="3" type="noConversion"/>
  </si>
  <si>
    <t>份</t>
    <phoneticPr fontId="3" type="noConversion"/>
  </si>
  <si>
    <t>脂質</t>
    <phoneticPr fontId="3" type="noConversion"/>
  </si>
  <si>
    <t>g</t>
    <phoneticPr fontId="3" type="noConversion"/>
  </si>
  <si>
    <t>蛋白質g：</t>
    <phoneticPr fontId="3" type="noConversion"/>
  </si>
  <si>
    <t>水果類</t>
    <phoneticPr fontId="3" type="noConversion"/>
  </si>
  <si>
    <t>蛋白質</t>
    <phoneticPr fontId="3" type="noConversion"/>
  </si>
  <si>
    <t>星期一</t>
    <phoneticPr fontId="3" type="noConversion"/>
  </si>
  <si>
    <t xml:space="preserve">                </t>
    <phoneticPr fontId="3" type="noConversion"/>
  </si>
  <si>
    <t>熱量</t>
    <phoneticPr fontId="3" type="noConversion"/>
  </si>
  <si>
    <t>帶骨大排</t>
    <phoneticPr fontId="3" type="noConversion"/>
  </si>
  <si>
    <t>炭烤大排</t>
    <phoneticPr fontId="3" type="noConversion"/>
  </si>
  <si>
    <t>烤</t>
    <phoneticPr fontId="3" type="noConversion"/>
  </si>
  <si>
    <t>小米飯</t>
    <phoneticPr fontId="3" type="noConversion"/>
  </si>
  <si>
    <t>洋蔥炒蛋</t>
    <phoneticPr fontId="3" type="noConversion"/>
  </si>
  <si>
    <t>雞塊雙拼</t>
    <phoneticPr fontId="3" type="noConversion"/>
  </si>
  <si>
    <t>季節蔬菜</t>
    <phoneticPr fontId="3" type="noConversion"/>
  </si>
  <si>
    <t>蛋液</t>
    <phoneticPr fontId="3" type="noConversion"/>
  </si>
  <si>
    <t>洋蔥絲</t>
    <phoneticPr fontId="3" type="noConversion"/>
  </si>
  <si>
    <t>紅蘿蔔絲</t>
    <phoneticPr fontId="3" type="noConversion"/>
  </si>
  <si>
    <t>雞塊</t>
    <phoneticPr fontId="3" type="noConversion"/>
  </si>
  <si>
    <t>薯條</t>
    <phoneticPr fontId="3" type="noConversion"/>
  </si>
  <si>
    <t>炒</t>
    <phoneticPr fontId="3" type="noConversion"/>
  </si>
  <si>
    <t>鵝白菜</t>
    <phoneticPr fontId="3" type="noConversion"/>
  </si>
  <si>
    <t>薑絲紫菜湯</t>
    <phoneticPr fontId="3" type="noConversion"/>
  </si>
  <si>
    <t>紫菜</t>
    <phoneticPr fontId="3" type="noConversion"/>
  </si>
  <si>
    <t>板豆腐</t>
    <phoneticPr fontId="3" type="noConversion"/>
  </si>
  <si>
    <t>薑絲</t>
    <phoneticPr fontId="3" type="noConversion"/>
  </si>
  <si>
    <t>白飯</t>
    <phoneticPr fontId="3" type="noConversion"/>
  </si>
  <si>
    <t>小米</t>
    <phoneticPr fontId="3" type="noConversion"/>
  </si>
  <si>
    <t>茶香雞腿</t>
    <phoneticPr fontId="3" type="noConversion"/>
  </si>
  <si>
    <t>蔥燒魚丁</t>
    <phoneticPr fontId="3" type="noConversion"/>
  </si>
  <si>
    <t>椒鹽魚排</t>
    <phoneticPr fontId="3" type="noConversion"/>
  </si>
  <si>
    <t>卡啦雞翅</t>
    <phoneticPr fontId="3" type="noConversion"/>
  </si>
  <si>
    <t>橙汁里肌</t>
    <phoneticPr fontId="3" type="noConversion"/>
  </si>
  <si>
    <t>綠豆珍珠湯</t>
    <phoneticPr fontId="3" type="noConversion"/>
  </si>
  <si>
    <t>蒜蓉水餃</t>
    <phoneticPr fontId="3" type="noConversion"/>
  </si>
  <si>
    <t>蘿蔔燉肉</t>
    <phoneticPr fontId="3" type="noConversion"/>
  </si>
  <si>
    <t>紅燒排骨</t>
    <phoneticPr fontId="3" type="noConversion"/>
  </si>
  <si>
    <t>榨菜三絲湯</t>
    <phoneticPr fontId="3" type="noConversion"/>
  </si>
  <si>
    <t>筍干燒肉</t>
    <phoneticPr fontId="3" type="noConversion"/>
  </si>
  <si>
    <t>鮮味抄手</t>
    <phoneticPr fontId="3" type="noConversion"/>
  </si>
  <si>
    <t>海茸炒菇菇</t>
    <phoneticPr fontId="3" type="noConversion"/>
  </si>
  <si>
    <t>塔香滷大排</t>
    <phoneticPr fontId="3" type="noConversion"/>
  </si>
  <si>
    <t>黃金咕咾肉</t>
    <phoneticPr fontId="3" type="noConversion"/>
  </si>
  <si>
    <t>蘿蔔排骨湯</t>
    <phoneticPr fontId="3" type="noConversion"/>
  </si>
  <si>
    <t>小瓜炒蝦捲</t>
    <phoneticPr fontId="3" type="noConversion"/>
  </si>
  <si>
    <t>彩椒炒肉片</t>
    <phoneticPr fontId="3" type="noConversion"/>
  </si>
  <si>
    <t>香Q米飯</t>
    <phoneticPr fontId="3" type="noConversion"/>
  </si>
  <si>
    <t>筍乾燒肉</t>
    <phoneticPr fontId="3" type="noConversion"/>
  </si>
  <si>
    <t>八寶肉醬</t>
    <phoneticPr fontId="3" type="noConversion"/>
  </si>
  <si>
    <t>鮮蔬炒粄條</t>
    <phoneticPr fontId="3" type="noConversion"/>
  </si>
  <si>
    <t>小白菜</t>
    <phoneticPr fontId="3" type="noConversion"/>
  </si>
  <si>
    <t>冬瓜雞湯</t>
    <phoneticPr fontId="3" type="noConversion"/>
  </si>
  <si>
    <t>塔香醬燒雞</t>
    <phoneticPr fontId="3" type="noConversion"/>
  </si>
  <si>
    <t>珍珠奶皇包</t>
    <phoneticPr fontId="3" type="noConversion"/>
  </si>
  <si>
    <t>花生豬血糕</t>
    <phoneticPr fontId="3" type="noConversion"/>
  </si>
  <si>
    <t>糖揚銀絲卷</t>
    <phoneticPr fontId="3" type="noConversion"/>
  </si>
  <si>
    <t>蔥油燒雞</t>
    <phoneticPr fontId="3" type="noConversion"/>
  </si>
  <si>
    <t>香酥雞腿</t>
    <phoneticPr fontId="3" type="noConversion"/>
  </si>
  <si>
    <t>五更腸旺</t>
    <phoneticPr fontId="3" type="noConversion"/>
  </si>
  <si>
    <t>肉燥滷蛋</t>
    <phoneticPr fontId="3" type="noConversion"/>
  </si>
  <si>
    <t>藥膳麵線湯</t>
    <phoneticPr fontId="3" type="noConversion"/>
  </si>
  <si>
    <t>香嫩里肌排</t>
    <phoneticPr fontId="3" type="noConversion"/>
  </si>
  <si>
    <t>魚絲蒸蛋</t>
    <phoneticPr fontId="3" type="noConversion"/>
  </si>
  <si>
    <t>鮮蔬味噌湯</t>
    <phoneticPr fontId="3" type="noConversion"/>
  </si>
  <si>
    <t>番茄炒蛋</t>
    <phoneticPr fontId="3" type="noConversion"/>
  </si>
  <si>
    <t>海苔蒸蛋</t>
    <phoneticPr fontId="3" type="noConversion"/>
  </si>
  <si>
    <t>韓式年糕</t>
    <phoneticPr fontId="3" type="noConversion"/>
  </si>
  <si>
    <t>胚米飯</t>
    <phoneticPr fontId="3" type="noConversion"/>
  </si>
  <si>
    <t>蔥燒魚丁</t>
    <phoneticPr fontId="3" type="noConversion"/>
  </si>
  <si>
    <t>燒</t>
    <phoneticPr fontId="3" type="noConversion"/>
  </si>
  <si>
    <t>鮮蔬燒肉</t>
    <phoneticPr fontId="3" type="noConversion"/>
  </si>
  <si>
    <t>炸</t>
    <phoneticPr fontId="3" type="noConversion"/>
  </si>
  <si>
    <t>黃金咕咾肉</t>
    <phoneticPr fontId="3" type="noConversion"/>
  </si>
  <si>
    <t>家常豆腐</t>
    <phoneticPr fontId="3" type="noConversion"/>
  </si>
  <si>
    <t>小瓜甜不辣</t>
    <phoneticPr fontId="3" type="noConversion"/>
  </si>
  <si>
    <t>青江菜</t>
    <phoneticPr fontId="3" type="noConversion"/>
  </si>
  <si>
    <t>榨菜三絲湯</t>
    <phoneticPr fontId="3" type="noConversion"/>
  </si>
  <si>
    <t>小米飯</t>
    <phoneticPr fontId="3" type="noConversion"/>
  </si>
  <si>
    <t>胚米</t>
    <phoneticPr fontId="3" type="noConversion"/>
  </si>
  <si>
    <t>茶香雞腿</t>
    <phoneticPr fontId="3" type="noConversion"/>
  </si>
  <si>
    <t>煮</t>
    <phoneticPr fontId="3" type="noConversion"/>
  </si>
  <si>
    <t>烤柳葉魚</t>
    <phoneticPr fontId="3" type="noConversion"/>
  </si>
  <si>
    <t>烤</t>
    <phoneticPr fontId="3" type="noConversion"/>
  </si>
  <si>
    <t>柳葉魚</t>
    <phoneticPr fontId="3" type="noConversion"/>
  </si>
  <si>
    <t>珍珠豆沙包</t>
    <phoneticPr fontId="3" type="noConversion"/>
  </si>
  <si>
    <t>蒸</t>
    <phoneticPr fontId="3" type="noConversion"/>
  </si>
  <si>
    <t>空心菜</t>
    <phoneticPr fontId="3" type="noConversion"/>
  </si>
  <si>
    <t>檸檬愛玉</t>
    <phoneticPr fontId="3" type="noConversion"/>
  </si>
  <si>
    <t>家常炒麵</t>
    <phoneticPr fontId="3" type="noConversion"/>
  </si>
  <si>
    <t>炒</t>
    <phoneticPr fontId="3" type="noConversion"/>
  </si>
  <si>
    <t>炒</t>
    <phoneticPr fontId="3" type="noConversion"/>
  </si>
  <si>
    <t>鵝白菜</t>
    <phoneticPr fontId="3" type="noConversion"/>
  </si>
  <si>
    <t>魚絲蒸蛋</t>
    <phoneticPr fontId="3" type="noConversion"/>
  </si>
  <si>
    <t>滷</t>
    <phoneticPr fontId="3" type="noConversion"/>
  </si>
  <si>
    <t>油菜</t>
    <phoneticPr fontId="3" type="noConversion"/>
  </si>
  <si>
    <t>香嫩里肌排</t>
    <phoneticPr fontId="3" type="noConversion"/>
  </si>
  <si>
    <t>韭菜黑輪</t>
    <phoneticPr fontId="3" type="noConversion"/>
  </si>
  <si>
    <t>炒</t>
    <phoneticPr fontId="3" type="noConversion"/>
  </si>
  <si>
    <t>鮮味抄手</t>
    <phoneticPr fontId="3" type="noConversion"/>
  </si>
  <si>
    <t>海茸炒菇菇</t>
    <phoneticPr fontId="3" type="noConversion"/>
  </si>
  <si>
    <t>黃瓜貢丸湯</t>
    <phoneticPr fontId="3" type="noConversion"/>
  </si>
  <si>
    <t>肉絲炒飯</t>
    <phoneticPr fontId="3" type="noConversion"/>
  </si>
  <si>
    <t>椒鹽魚排</t>
    <phoneticPr fontId="3" type="noConversion"/>
  </si>
  <si>
    <t>拌</t>
    <phoneticPr fontId="3" type="noConversion"/>
  </si>
  <si>
    <t>蒜蓉水餃</t>
    <phoneticPr fontId="3" type="noConversion"/>
  </si>
  <si>
    <t>空心菜</t>
    <phoneticPr fontId="3" type="noConversion"/>
  </si>
  <si>
    <t>仙草蜜</t>
    <phoneticPr fontId="3" type="noConversion"/>
  </si>
  <si>
    <t>蘿蔔燉肉</t>
    <phoneticPr fontId="3" type="noConversion"/>
  </si>
  <si>
    <t>白花炒肉片</t>
    <phoneticPr fontId="3" type="noConversion"/>
  </si>
  <si>
    <t>翡翠豆腐湯</t>
    <phoneticPr fontId="3" type="noConversion"/>
  </si>
  <si>
    <t>香滷腿排</t>
    <phoneticPr fontId="3" type="noConversion"/>
  </si>
  <si>
    <t>薑絲紫菜湯</t>
    <phoneticPr fontId="3" type="noConversion"/>
  </si>
  <si>
    <t>煮</t>
    <phoneticPr fontId="3" type="noConversion"/>
  </si>
  <si>
    <t>烤</t>
    <phoneticPr fontId="3" type="noConversion"/>
  </si>
  <si>
    <t>紅燒排骨</t>
    <phoneticPr fontId="3" type="noConversion"/>
  </si>
  <si>
    <t>肉燥滷蛋</t>
    <phoneticPr fontId="3" type="noConversion"/>
  </si>
  <si>
    <t>蒙古高麗菜</t>
    <phoneticPr fontId="3" type="noConversion"/>
  </si>
  <si>
    <t>筍片雞湯</t>
    <phoneticPr fontId="3" type="noConversion"/>
  </si>
  <si>
    <t>小米</t>
    <phoneticPr fontId="3" type="noConversion"/>
  </si>
  <si>
    <t>卡啦雞翅</t>
    <phoneticPr fontId="3" type="noConversion"/>
  </si>
  <si>
    <t>彩椒炒肉片</t>
    <phoneticPr fontId="3" type="noConversion"/>
  </si>
  <si>
    <t>珍珠奶皇包</t>
    <phoneticPr fontId="3" type="noConversion"/>
  </si>
  <si>
    <t>紅豆西米露</t>
    <phoneticPr fontId="3" type="noConversion"/>
  </si>
  <si>
    <t>白醬義大利麵</t>
    <phoneticPr fontId="3" type="noConversion"/>
  </si>
  <si>
    <t>油菜</t>
    <phoneticPr fontId="3" type="noConversion"/>
  </si>
  <si>
    <t>夏威夷炒飯</t>
    <phoneticPr fontId="3" type="noConversion"/>
  </si>
  <si>
    <t>香酥雞腿</t>
    <phoneticPr fontId="3" type="noConversion"/>
  </si>
  <si>
    <t>府城肉燥</t>
    <phoneticPr fontId="3" type="noConversion"/>
  </si>
  <si>
    <t>藥膳麵線湯</t>
    <phoneticPr fontId="3" type="noConversion"/>
  </si>
  <si>
    <t>炸</t>
    <phoneticPr fontId="3" type="noConversion"/>
  </si>
  <si>
    <t>滷</t>
    <phoneticPr fontId="3" type="noConversion"/>
  </si>
  <si>
    <t>彩繪福州丸</t>
    <phoneticPr fontId="3" type="noConversion"/>
  </si>
  <si>
    <t>橙汁里肌</t>
    <phoneticPr fontId="3" type="noConversion"/>
  </si>
  <si>
    <t>海苔蒸蛋</t>
    <phoneticPr fontId="3" type="noConversion"/>
  </si>
  <si>
    <t>韓式年糕</t>
    <phoneticPr fontId="3" type="noConversion"/>
  </si>
  <si>
    <t>蘿蔔排骨湯</t>
    <phoneticPr fontId="3" type="noConversion"/>
  </si>
  <si>
    <t>蒸</t>
    <phoneticPr fontId="3" type="noConversion"/>
  </si>
  <si>
    <t>蔥油燒雞</t>
    <phoneticPr fontId="3" type="noConversion"/>
  </si>
  <si>
    <t>茄汁肉丸</t>
    <phoneticPr fontId="3" type="noConversion"/>
  </si>
  <si>
    <t>花生豬血糕</t>
    <phoneticPr fontId="3" type="noConversion"/>
  </si>
  <si>
    <t>枸杞冬瓜湯</t>
    <phoneticPr fontId="3" type="noConversion"/>
  </si>
  <si>
    <t>塔香滷大排</t>
    <phoneticPr fontId="3" type="noConversion"/>
  </si>
  <si>
    <t>小瓜炒蝦捲</t>
    <phoneticPr fontId="3" type="noConversion"/>
  </si>
  <si>
    <t>糖揚銀絲卷</t>
    <phoneticPr fontId="3" type="noConversion"/>
  </si>
  <si>
    <t>綠豆珍珠湯</t>
    <phoneticPr fontId="3" type="noConversion"/>
  </si>
  <si>
    <t>燒</t>
    <phoneticPr fontId="3" type="noConversion"/>
  </si>
  <si>
    <t>絞肉</t>
    <phoneticPr fontId="3" type="noConversion"/>
  </si>
  <si>
    <t>乾香菇絲</t>
    <phoneticPr fontId="3" type="noConversion"/>
  </si>
  <si>
    <t>紅蘿蔔丁</t>
    <phoneticPr fontId="3" type="noConversion"/>
  </si>
  <si>
    <t>毛豆仁</t>
    <phoneticPr fontId="3" type="noConversion"/>
  </si>
  <si>
    <t>玉米粒</t>
    <phoneticPr fontId="3" type="noConversion"/>
  </si>
  <si>
    <t>干丁</t>
    <phoneticPr fontId="3" type="noConversion"/>
  </si>
  <si>
    <t>肉丁</t>
    <phoneticPr fontId="3" type="noConversion"/>
  </si>
  <si>
    <t>筍干</t>
    <phoneticPr fontId="3" type="noConversion"/>
  </si>
  <si>
    <t>白蘿蔔</t>
    <phoneticPr fontId="3" type="noConversion"/>
  </si>
  <si>
    <t>燒</t>
    <phoneticPr fontId="3" type="noConversion"/>
  </si>
  <si>
    <t>粄條</t>
    <phoneticPr fontId="3" type="noConversion"/>
  </si>
  <si>
    <t>豆芽菜</t>
    <phoneticPr fontId="3" type="noConversion"/>
  </si>
  <si>
    <t>紅蘿蔔絲</t>
    <phoneticPr fontId="3" type="noConversion"/>
  </si>
  <si>
    <t>青蔥段</t>
    <phoneticPr fontId="3" type="noConversion"/>
  </si>
  <si>
    <t>高麗菜</t>
    <phoneticPr fontId="3" type="noConversion"/>
  </si>
  <si>
    <t>棒腿丁</t>
    <phoneticPr fontId="3" type="noConversion"/>
  </si>
  <si>
    <t>廢棄率</t>
    <phoneticPr fontId="3" type="noConversion"/>
  </si>
  <si>
    <t>旗魚丁</t>
    <phoneticPr fontId="3" type="noConversion"/>
  </si>
  <si>
    <t>洋蔥片</t>
    <phoneticPr fontId="3" type="noConversion"/>
  </si>
  <si>
    <t>蔥段</t>
    <phoneticPr fontId="3" type="noConversion"/>
  </si>
  <si>
    <t>咕咾肉</t>
    <phoneticPr fontId="3" type="noConversion"/>
  </si>
  <si>
    <t>椒鹽粉</t>
    <phoneticPr fontId="3" type="noConversion"/>
  </si>
  <si>
    <t>豆腐</t>
    <phoneticPr fontId="3" type="noConversion"/>
  </si>
  <si>
    <t>青豆仁</t>
    <phoneticPr fontId="3" type="noConversion"/>
  </si>
  <si>
    <t>小黃瓜片</t>
    <phoneticPr fontId="3" type="noConversion"/>
  </si>
  <si>
    <t>黑輪條</t>
    <phoneticPr fontId="3" type="noConversion"/>
  </si>
  <si>
    <t>香菇</t>
    <phoneticPr fontId="3" type="noConversion"/>
  </si>
  <si>
    <t>紅蘿蔔片</t>
    <phoneticPr fontId="3" type="noConversion"/>
  </si>
  <si>
    <t>榨菜絲</t>
    <phoneticPr fontId="3" type="noConversion"/>
  </si>
  <si>
    <t>肉絲</t>
    <phoneticPr fontId="3" type="noConversion"/>
  </si>
  <si>
    <t>雞腿</t>
    <phoneticPr fontId="3" type="noConversion"/>
  </si>
  <si>
    <t>珍珠豆沙包</t>
    <phoneticPr fontId="3" type="noConversion"/>
  </si>
  <si>
    <t>愛玉</t>
    <phoneticPr fontId="3" type="noConversion"/>
  </si>
  <si>
    <t>檸檬汁</t>
    <phoneticPr fontId="3" type="noConversion"/>
  </si>
  <si>
    <t>油麵</t>
    <phoneticPr fontId="3" type="noConversion"/>
  </si>
  <si>
    <t>洋蔥絲</t>
    <phoneticPr fontId="3" type="noConversion"/>
  </si>
  <si>
    <t>肉片</t>
    <phoneticPr fontId="3" type="noConversion"/>
  </si>
  <si>
    <t>金針菇</t>
    <phoneticPr fontId="3" type="noConversion"/>
  </si>
  <si>
    <t>青蔥</t>
    <phoneticPr fontId="3" type="noConversion"/>
  </si>
  <si>
    <t>馬鈴薯</t>
    <phoneticPr fontId="3" type="noConversion"/>
  </si>
  <si>
    <t>雞丁</t>
    <phoneticPr fontId="3" type="noConversion"/>
  </si>
  <si>
    <t>九層塔</t>
    <phoneticPr fontId="3" type="noConversion"/>
  </si>
  <si>
    <t>蛋液</t>
    <phoneticPr fontId="3" type="noConversion"/>
  </si>
  <si>
    <t>魚板絲</t>
    <phoneticPr fontId="3" type="noConversion"/>
  </si>
  <si>
    <t>米血</t>
    <phoneticPr fontId="3" type="noConversion"/>
  </si>
  <si>
    <t>酸菜絲</t>
    <phoneticPr fontId="3" type="noConversion"/>
  </si>
  <si>
    <t>水晶餃</t>
    <phoneticPr fontId="3" type="noConversion"/>
  </si>
  <si>
    <t>里肌排</t>
    <phoneticPr fontId="3" type="noConversion"/>
  </si>
  <si>
    <t>青蔥段</t>
    <phoneticPr fontId="3" type="noConversion"/>
  </si>
  <si>
    <t>紅絲炒蛋</t>
    <phoneticPr fontId="3" type="noConversion"/>
  </si>
  <si>
    <t>豆干片</t>
    <phoneticPr fontId="3" type="noConversion"/>
  </si>
  <si>
    <t>西洋芹</t>
    <phoneticPr fontId="3" type="noConversion"/>
  </si>
  <si>
    <t>韭菜</t>
    <phoneticPr fontId="3" type="noConversion"/>
  </si>
  <si>
    <t>海帶芽</t>
    <phoneticPr fontId="3" type="noConversion"/>
  </si>
  <si>
    <t>洋蔥</t>
    <phoneticPr fontId="3" type="noConversion"/>
  </si>
  <si>
    <t>青椒</t>
    <phoneticPr fontId="3" type="noConversion"/>
  </si>
  <si>
    <t>紅蘿蔔</t>
    <phoneticPr fontId="3" type="noConversion"/>
  </si>
  <si>
    <t>鳳梨</t>
    <phoneticPr fontId="3" type="noConversion"/>
  </si>
  <si>
    <t>餛飩</t>
    <phoneticPr fontId="3" type="noConversion"/>
  </si>
  <si>
    <t>海茸</t>
    <phoneticPr fontId="3" type="noConversion"/>
  </si>
  <si>
    <t>大黃瓜</t>
    <phoneticPr fontId="3" type="noConversion"/>
  </si>
  <si>
    <t>貢丸</t>
    <phoneticPr fontId="3" type="noConversion"/>
  </si>
  <si>
    <t>小米</t>
    <phoneticPr fontId="3" type="noConversion"/>
  </si>
  <si>
    <t>魚排</t>
    <phoneticPr fontId="3" type="noConversion"/>
  </si>
  <si>
    <t>包冰率</t>
    <phoneticPr fontId="3" type="noConversion"/>
  </si>
  <si>
    <t>四季豆</t>
    <phoneticPr fontId="3" type="noConversion"/>
  </si>
  <si>
    <t>木耳絲</t>
    <phoneticPr fontId="3" type="noConversion"/>
  </si>
  <si>
    <t>蒜蓉醬</t>
    <phoneticPr fontId="3" type="noConversion"/>
  </si>
  <si>
    <t>適量</t>
    <phoneticPr fontId="3" type="noConversion"/>
  </si>
  <si>
    <t>仙草</t>
    <phoneticPr fontId="3" type="noConversion"/>
  </si>
  <si>
    <t>白米</t>
    <phoneticPr fontId="3" type="noConversion"/>
  </si>
  <si>
    <t>韭菜</t>
    <phoneticPr fontId="3" type="noConversion"/>
  </si>
  <si>
    <t>薯條</t>
    <phoneticPr fontId="3" type="noConversion"/>
  </si>
  <si>
    <t>番茄</t>
    <phoneticPr fontId="3" type="noConversion"/>
  </si>
  <si>
    <t>白花椰</t>
    <phoneticPr fontId="3" type="noConversion"/>
  </si>
  <si>
    <t>菠菜</t>
    <phoneticPr fontId="3" type="noConversion"/>
  </si>
  <si>
    <t>豆腐</t>
    <phoneticPr fontId="3" type="noConversion"/>
  </si>
  <si>
    <t>腿排</t>
    <phoneticPr fontId="3" type="noConversion"/>
  </si>
  <si>
    <t>豬血丁</t>
    <phoneticPr fontId="3" type="noConversion"/>
  </si>
  <si>
    <t>酸菜片</t>
    <phoneticPr fontId="3" type="noConversion"/>
  </si>
  <si>
    <t>薑絲</t>
    <phoneticPr fontId="3" type="noConversion"/>
  </si>
  <si>
    <t>薑絲</t>
    <phoneticPr fontId="3" type="noConversion"/>
  </si>
  <si>
    <t>大排</t>
    <phoneticPr fontId="3" type="noConversion"/>
  </si>
  <si>
    <t>滷蛋</t>
    <phoneticPr fontId="3" type="noConversion"/>
  </si>
  <si>
    <t>滷</t>
    <phoneticPr fontId="3" type="noConversion"/>
  </si>
  <si>
    <t>筍片</t>
    <phoneticPr fontId="3" type="noConversion"/>
  </si>
  <si>
    <t>炸</t>
    <phoneticPr fontId="3" type="noConversion"/>
  </si>
  <si>
    <t>紅甜椒</t>
    <phoneticPr fontId="3" type="noConversion"/>
  </si>
  <si>
    <t>黃甜椒</t>
    <phoneticPr fontId="3" type="noConversion"/>
  </si>
  <si>
    <t>洋蔥</t>
    <phoneticPr fontId="3" type="noConversion"/>
  </si>
  <si>
    <t>珍珠奶皇包</t>
    <phoneticPr fontId="3" type="noConversion"/>
  </si>
  <si>
    <t>紅豆</t>
    <phoneticPr fontId="3" type="noConversion"/>
  </si>
  <si>
    <t>西谷米</t>
    <phoneticPr fontId="3" type="noConversion"/>
  </si>
  <si>
    <t>小烏龍</t>
    <phoneticPr fontId="3" type="noConversion"/>
  </si>
  <si>
    <t>玉米</t>
    <phoneticPr fontId="3" type="noConversion"/>
  </si>
  <si>
    <t>培根</t>
    <phoneticPr fontId="3" type="noConversion"/>
  </si>
  <si>
    <t>干片</t>
    <phoneticPr fontId="3" type="noConversion"/>
  </si>
  <si>
    <t>筍丁</t>
    <phoneticPr fontId="3" type="noConversion"/>
  </si>
  <si>
    <t>炒</t>
    <phoneticPr fontId="3" type="noConversion"/>
  </si>
  <si>
    <t>福州丸</t>
    <phoneticPr fontId="3" type="noConversion"/>
  </si>
  <si>
    <t>芹菜珠</t>
    <phoneticPr fontId="3" type="noConversion"/>
  </si>
  <si>
    <t>紅麵線</t>
    <phoneticPr fontId="3" type="noConversion"/>
  </si>
  <si>
    <t>枸杞</t>
    <phoneticPr fontId="3" type="noConversion"/>
  </si>
  <si>
    <t>海苔絲</t>
    <phoneticPr fontId="3" type="noConversion"/>
  </si>
  <si>
    <t>年糕</t>
    <phoneticPr fontId="3" type="noConversion"/>
  </si>
  <si>
    <t>大白菜</t>
    <phoneticPr fontId="3" type="noConversion"/>
  </si>
  <si>
    <t>泡菜</t>
    <phoneticPr fontId="3" type="noConversion"/>
  </si>
  <si>
    <t>排骨</t>
    <phoneticPr fontId="3" type="noConversion"/>
  </si>
  <si>
    <t>雞肉丸</t>
    <phoneticPr fontId="3" type="noConversion"/>
  </si>
  <si>
    <t>豬血糕</t>
    <phoneticPr fontId="3" type="noConversion"/>
  </si>
  <si>
    <t>花生粉</t>
    <phoneticPr fontId="3" type="noConversion"/>
  </si>
  <si>
    <t>冬瓜</t>
    <phoneticPr fontId="3" type="noConversion"/>
  </si>
  <si>
    <t>枸杞</t>
    <phoneticPr fontId="3" type="noConversion"/>
  </si>
  <si>
    <t>小黃瓜</t>
    <phoneticPr fontId="3" type="noConversion"/>
  </si>
  <si>
    <t>蝦捲</t>
    <phoneticPr fontId="3" type="noConversion"/>
  </si>
  <si>
    <t>銀絲卷</t>
    <phoneticPr fontId="3" type="noConversion"/>
  </si>
  <si>
    <t>綠豆</t>
    <phoneticPr fontId="3" type="noConversion"/>
  </si>
  <si>
    <t>珍珠</t>
    <phoneticPr fontId="3" type="noConversion"/>
  </si>
  <si>
    <t>白米</t>
    <phoneticPr fontId="3" type="noConversion"/>
  </si>
  <si>
    <t>冬瓜</t>
    <phoneticPr fontId="3" type="noConversion"/>
  </si>
  <si>
    <t>小米</t>
    <phoneticPr fontId="3" type="noConversion"/>
  </si>
  <si>
    <t>水餃皮</t>
    <phoneticPr fontId="3" type="noConversion"/>
  </si>
  <si>
    <t>肉絲</t>
    <phoneticPr fontId="3" type="noConversion"/>
  </si>
  <si>
    <t>雞翅</t>
    <phoneticPr fontId="3" type="noConversion"/>
  </si>
  <si>
    <t>客家小炒</t>
    <phoneticPr fontId="3" type="noConversion"/>
  </si>
  <si>
    <t>芹菜</t>
    <phoneticPr fontId="3" type="noConversion"/>
  </si>
  <si>
    <t>鮮魷</t>
    <phoneticPr fontId="3" type="noConversion"/>
  </si>
  <si>
    <t>炒</t>
    <phoneticPr fontId="3" type="noConversion"/>
  </si>
  <si>
    <t>紅絲炒蛋</t>
    <phoneticPr fontId="3" type="noConversion"/>
  </si>
  <si>
    <t>鮮蔬味噌湯</t>
    <phoneticPr fontId="3" type="noConversion"/>
  </si>
  <si>
    <t>府城肉燥</t>
    <phoneticPr fontId="3" type="noConversion"/>
  </si>
  <si>
    <t>茄汁肉丸</t>
    <phoneticPr fontId="3" type="noConversion"/>
  </si>
  <si>
    <t>滷味水晶餃</t>
    <phoneticPr fontId="3" type="noConversion"/>
  </si>
  <si>
    <r>
      <rPr>
        <sz val="16"/>
        <rFont val="新細明體"/>
        <family val="1"/>
        <charset val="136"/>
      </rPr>
      <t>4月份晚餐食材明細+營養分析</t>
    </r>
    <r>
      <rPr>
        <sz val="12"/>
        <rFont val="新細明體"/>
        <family val="1"/>
        <charset val="136"/>
      </rPr>
      <t xml:space="preserve">                   貝佳【第10週】</t>
    </r>
    <phoneticPr fontId="3" type="noConversion"/>
  </si>
  <si>
    <r>
      <rPr>
        <sz val="16"/>
        <rFont val="新細明體"/>
        <family val="1"/>
        <charset val="136"/>
      </rPr>
      <t>4月份晚餐食材明細+營養分析</t>
    </r>
    <r>
      <rPr>
        <sz val="12"/>
        <rFont val="新細明體"/>
        <family val="1"/>
        <charset val="136"/>
      </rPr>
      <t xml:space="preserve">                   貝佳【第9週】</t>
    </r>
    <phoneticPr fontId="3" type="noConversion"/>
  </si>
  <si>
    <r>
      <rPr>
        <sz val="16"/>
        <rFont val="新細明體"/>
        <family val="1"/>
        <charset val="136"/>
      </rPr>
      <t>4月份晚餐食材明細+營養分析</t>
    </r>
    <r>
      <rPr>
        <sz val="12"/>
        <rFont val="新細明體"/>
        <family val="1"/>
        <charset val="136"/>
      </rPr>
      <t xml:space="preserve">                   貝佳【第8週】</t>
    </r>
    <phoneticPr fontId="3" type="noConversion"/>
  </si>
  <si>
    <r>
      <rPr>
        <sz val="16"/>
        <rFont val="新細明體"/>
        <family val="1"/>
        <charset val="136"/>
      </rPr>
      <t>4月份晚餐食材明細+營養分析</t>
    </r>
    <r>
      <rPr>
        <sz val="12"/>
        <rFont val="新細明體"/>
        <family val="1"/>
        <charset val="136"/>
      </rPr>
      <t xml:space="preserve">                   貝佳【第7週】</t>
    </r>
    <phoneticPr fontId="3" type="noConversion"/>
  </si>
  <si>
    <r>
      <rPr>
        <sz val="16"/>
        <rFont val="新細明體"/>
        <family val="1"/>
        <charset val="136"/>
      </rPr>
      <t>4月份晚餐食材明細+營養分析</t>
    </r>
    <r>
      <rPr>
        <sz val="12"/>
        <rFont val="新細明體"/>
        <family val="1"/>
        <charset val="136"/>
      </rPr>
      <t xml:space="preserve">                   貝佳【第6週】</t>
    </r>
    <phoneticPr fontId="3" type="noConversion"/>
  </si>
  <si>
    <t>雞丁</t>
    <phoneticPr fontId="3" type="noConversion"/>
  </si>
  <si>
    <t>洋蔥</t>
    <phoneticPr fontId="3" type="noConversion"/>
  </si>
  <si>
    <t>油菜</t>
    <phoneticPr fontId="3" type="noConversion"/>
  </si>
  <si>
    <t>翡翠豆腐湯</t>
    <phoneticPr fontId="3" type="noConversion"/>
  </si>
  <si>
    <t>乾香菇</t>
    <phoneticPr fontId="3" type="noConversion"/>
  </si>
  <si>
    <t>紅蘿蔔</t>
    <phoneticPr fontId="3" type="noConversion"/>
  </si>
  <si>
    <t>香菇</t>
    <phoneticPr fontId="3" type="noConversion"/>
  </si>
  <si>
    <t>紅蘿蔔</t>
    <phoneticPr fontId="3" type="noConversion"/>
  </si>
  <si>
    <t>鮮菇拌肉片</t>
    <phoneticPr fontId="3" type="noConversion"/>
  </si>
  <si>
    <t>豬肉</t>
    <phoneticPr fontId="3" type="noConversion"/>
  </si>
  <si>
    <t>木耳</t>
    <phoneticPr fontId="3" type="noConversion"/>
  </si>
  <si>
    <t>杏鮑菇</t>
    <phoneticPr fontId="3" type="noConversion"/>
  </si>
  <si>
    <t>鮮蔬粉絲湯</t>
    <phoneticPr fontId="3" type="noConversion"/>
  </si>
  <si>
    <t>排骨</t>
    <phoneticPr fontId="3" type="noConversion"/>
  </si>
  <si>
    <t>廢棄率</t>
    <phoneticPr fontId="3" type="noConversion"/>
  </si>
  <si>
    <t>高麗菜</t>
    <phoneticPr fontId="3" type="noConversion"/>
  </si>
  <si>
    <t>粉絲</t>
    <phoneticPr fontId="3" type="noConversion"/>
  </si>
  <si>
    <t>蛋液</t>
    <phoneticPr fontId="3" type="noConversion"/>
  </si>
  <si>
    <t>青木瓜排骨湯</t>
    <phoneticPr fontId="3" type="noConversion"/>
  </si>
  <si>
    <t>青木瓜</t>
    <phoneticPr fontId="3" type="noConversion"/>
  </si>
  <si>
    <t>綜合粉絲湯</t>
    <phoneticPr fontId="3" type="noConversion"/>
  </si>
  <si>
    <t>星期一</t>
    <phoneticPr fontId="3" type="noConversion"/>
  </si>
  <si>
    <t>糖醋雞丁</t>
    <phoneticPr fontId="3" type="noConversion"/>
  </si>
  <si>
    <t>糖醋雞丁</t>
    <phoneticPr fontId="3" type="noConversion"/>
  </si>
  <si>
    <t>雞丁</t>
    <phoneticPr fontId="3" type="noConversion"/>
  </si>
  <si>
    <t>豬肉</t>
    <phoneticPr fontId="3" type="noConversion"/>
  </si>
  <si>
    <t>地瓜條雙拼</t>
    <phoneticPr fontId="3" type="noConversion"/>
  </si>
  <si>
    <t>地瓜條</t>
    <phoneticPr fontId="3" type="noConversion"/>
  </si>
  <si>
    <t>地瓜條雙拼</t>
    <phoneticPr fontId="3" type="noConversion"/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</si>
</sst>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176" formatCode="m&quot;月&quot;d&quot;日&quot;"/>
    <numFmt numFmtId="177" formatCode="m&quot;月&quot;d&quot;日&quot;;@"/>
    <numFmt numFmtId="178" formatCode="0.0_ "/>
    <numFmt numFmtId="179" formatCode="0.0"/>
    <numFmt numFmtId="180" formatCode="0.00_ "/>
  </numFmts>
  <fonts count="3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8"/>
      <color indexed="18"/>
      <name val="華康布丁體"/>
      <family val="5"/>
      <charset val="136"/>
    </font>
    <font>
      <sz val="9"/>
      <name val="新細明體"/>
      <family val="1"/>
      <charset val="136"/>
    </font>
    <font>
      <sz val="14"/>
      <name val="華康中圓體(P)"/>
      <family val="2"/>
      <charset val="136"/>
    </font>
    <font>
      <sz val="12"/>
      <color indexed="8"/>
      <name val="華康中圓體(P)"/>
      <family val="2"/>
      <charset val="136"/>
    </font>
    <font>
      <sz val="12"/>
      <name val="華康中圓體(P)"/>
      <family val="2"/>
      <charset val="136"/>
    </font>
    <font>
      <sz val="18"/>
      <name val="華康娃娃體(P)"/>
      <family val="5"/>
      <charset val="136"/>
    </font>
    <font>
      <sz val="26"/>
      <color indexed="10"/>
      <name val="華康POP1體W7(P)"/>
      <family val="5"/>
      <charset val="136"/>
    </font>
    <font>
      <sz val="26"/>
      <name val="華康POP1體W7(P)"/>
      <family val="5"/>
      <charset val="136"/>
    </font>
    <font>
      <sz val="18"/>
      <color indexed="8"/>
      <name val="華康娃娃體(P)"/>
      <family val="5"/>
      <charset val="136"/>
    </font>
    <font>
      <sz val="18"/>
      <color rgb="FF008000"/>
      <name val="華康娃娃體(P)"/>
      <family val="5"/>
      <charset val="136"/>
    </font>
    <font>
      <sz val="10"/>
      <name val="華康中圓體(P)"/>
      <family val="2"/>
      <charset val="136"/>
    </font>
    <font>
      <b/>
      <sz val="9"/>
      <name val="華康中圓體(P)"/>
      <family val="2"/>
      <charset val="136"/>
    </font>
    <font>
      <sz val="28"/>
      <color indexed="10"/>
      <name val="華康POP1體W7(P)"/>
      <family val="5"/>
      <charset val="136"/>
    </font>
    <font>
      <sz val="28"/>
      <name val="華康POP1體W7(P)"/>
      <family val="5"/>
      <charset val="136"/>
    </font>
    <font>
      <sz val="27"/>
      <color indexed="10"/>
      <name val="華康POP1體W7(P)"/>
      <family val="5"/>
      <charset val="136"/>
    </font>
    <font>
      <sz val="27"/>
      <name val="華康POP1體W7(P)"/>
      <family val="5"/>
      <charset val="136"/>
    </font>
    <font>
      <sz val="14"/>
      <color indexed="8"/>
      <name val="華康中圓體(P)"/>
      <family val="2"/>
      <charset val="136"/>
    </font>
    <font>
      <sz val="28"/>
      <color indexed="41"/>
      <name val="華康中圓體(P)"/>
      <family val="2"/>
      <charset val="136"/>
    </font>
    <font>
      <sz val="12"/>
      <color indexed="17"/>
      <name val="新細明體"/>
      <family val="1"/>
      <charset val="136"/>
    </font>
    <font>
      <sz val="25"/>
      <color indexed="10"/>
      <name val="華康POP1體W7(P)"/>
      <family val="5"/>
      <charset val="136"/>
    </font>
    <font>
      <sz val="25"/>
      <name val="華康POP1體W7(P)"/>
      <family val="5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59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0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</cellStyleXfs>
  <cellXfs count="275">
    <xf numFmtId="0" fontId="0" fillId="0" borderId="0" xfId="0">
      <alignment vertical="center"/>
    </xf>
    <xf numFmtId="176" fontId="5" fillId="2" borderId="3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177" fontId="5" fillId="2" borderId="3" xfId="0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2" fillId="0" borderId="13" xfId="0" applyFont="1" applyFill="1" applyBorder="1" applyAlignment="1">
      <alignment horizontal="center" vertical="center" shrinkToFit="1"/>
    </xf>
    <xf numFmtId="176" fontId="18" fillId="2" borderId="3" xfId="0" applyNumberFormat="1" applyFont="1" applyFill="1" applyBorder="1" applyAlignment="1">
      <alignment horizontal="center" vertical="center" shrinkToFit="1"/>
    </xf>
    <xf numFmtId="0" fontId="18" fillId="2" borderId="4" xfId="0" applyNumberFormat="1" applyFont="1" applyFill="1" applyBorder="1" applyAlignment="1">
      <alignment horizontal="center" vertical="center" shrinkToFit="1"/>
    </xf>
    <xf numFmtId="177" fontId="18" fillId="2" borderId="3" xfId="0" applyNumberFormat="1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20" xfId="0" applyFont="1" applyBorder="1" applyAlignment="1">
      <alignment vertical="center" textRotation="255"/>
    </xf>
    <xf numFmtId="0" fontId="0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2" xfId="0" applyFont="1" applyBorder="1">
      <alignment vertical="center"/>
    </xf>
    <xf numFmtId="0" fontId="1" fillId="7" borderId="26" xfId="2" applyFont="1" applyFill="1" applyBorder="1" applyAlignment="1">
      <alignment horizontal="center" vertical="center"/>
    </xf>
    <xf numFmtId="178" fontId="1" fillId="0" borderId="27" xfId="2" applyNumberFormat="1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2" borderId="28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3" xfId="2" applyFont="1" applyFill="1" applyBorder="1" applyAlignment="1">
      <alignment vertical="center" shrinkToFit="1"/>
    </xf>
    <xf numFmtId="0" fontId="1" fillId="0" borderId="23" xfId="2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179" fontId="24" fillId="0" borderId="5" xfId="0" applyNumberFormat="1" applyFont="1" applyBorder="1" applyAlignment="1">
      <alignment horizontal="right" vertical="center"/>
    </xf>
    <xf numFmtId="0" fontId="1" fillId="8" borderId="32" xfId="2" applyFont="1" applyFill="1" applyBorder="1" applyAlignment="1">
      <alignment horizontal="center" vertical="center"/>
    </xf>
    <xf numFmtId="180" fontId="1" fillId="0" borderId="33" xfId="2" applyNumberFormat="1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179" fontId="1" fillId="0" borderId="35" xfId="2" applyNumberFormat="1" applyFont="1" applyFill="1" applyBorder="1" applyAlignment="1">
      <alignment horizontal="center" vertical="center"/>
    </xf>
    <xf numFmtId="9" fontId="1" fillId="0" borderId="36" xfId="5" applyNumberFormat="1" applyFont="1" applyFill="1" applyBorder="1" applyAlignment="1">
      <alignment horizontal="center" vertical="center"/>
    </xf>
    <xf numFmtId="0" fontId="1" fillId="7" borderId="37" xfId="2" applyFont="1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4" fillId="0" borderId="5" xfId="0" applyFont="1" applyBorder="1">
      <alignment vertical="center"/>
    </xf>
    <xf numFmtId="0" fontId="1" fillId="9" borderId="3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26" fillId="0" borderId="11" xfId="0" applyFont="1" applyBorder="1" applyAlignment="1">
      <alignment vertical="center" shrinkToFit="1"/>
    </xf>
    <xf numFmtId="9" fontId="26" fillId="0" borderId="12" xfId="0" applyNumberFormat="1" applyFont="1" applyBorder="1" applyAlignment="1">
      <alignment horizontal="center" vertical="center" shrinkToFit="1"/>
    </xf>
    <xf numFmtId="0" fontId="0" fillId="0" borderId="0" xfId="2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10" borderId="32" xfId="2" applyFont="1" applyFill="1" applyBorder="1" applyAlignment="1">
      <alignment horizontal="center" vertical="center"/>
    </xf>
    <xf numFmtId="178" fontId="1" fillId="0" borderId="33" xfId="2" applyNumberFormat="1" applyFont="1" applyFill="1" applyBorder="1" applyAlignment="1">
      <alignment horizontal="center" vertical="center"/>
    </xf>
    <xf numFmtId="0" fontId="0" fillId="0" borderId="11" xfId="2" applyFont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5" fillId="0" borderId="11" xfId="0" applyFont="1" applyBorder="1" applyAlignment="1">
      <alignment vertical="center" shrinkToFit="1"/>
    </xf>
    <xf numFmtId="0" fontId="25" fillId="0" borderId="12" xfId="0" applyFont="1" applyBorder="1" applyAlignment="1">
      <alignment horizontal="center" vertical="center" shrinkToFit="1"/>
    </xf>
    <xf numFmtId="0" fontId="1" fillId="11" borderId="3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9" fontId="1" fillId="0" borderId="12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" fillId="12" borderId="32" xfId="2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2" xfId="0" applyFont="1" applyBorder="1">
      <alignment vertical="center"/>
    </xf>
    <xf numFmtId="0" fontId="26" fillId="0" borderId="11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1" fillId="0" borderId="38" xfId="2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horizontal="center" vertical="center"/>
    </xf>
    <xf numFmtId="0" fontId="1" fillId="0" borderId="40" xfId="2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5" xfId="0" applyFont="1" applyBorder="1">
      <alignment vertical="center"/>
    </xf>
    <xf numFmtId="178" fontId="1" fillId="0" borderId="41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2" applyFont="1" applyFill="1" applyBorder="1" applyAlignment="1">
      <alignment horizontal="center" vertical="center" shrinkToFit="1"/>
    </xf>
    <xf numFmtId="0" fontId="0" fillId="0" borderId="11" xfId="2" applyFont="1" applyFill="1" applyBorder="1" applyAlignment="1">
      <alignment vertical="center" shrinkToFit="1"/>
    </xf>
    <xf numFmtId="0" fontId="1" fillId="2" borderId="42" xfId="2" applyFont="1" applyFill="1" applyBorder="1" applyAlignment="1">
      <alignment horizontal="center" vertical="center"/>
    </xf>
    <xf numFmtId="0" fontId="1" fillId="0" borderId="33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/>
    </xf>
    <xf numFmtId="0" fontId="1" fillId="0" borderId="43" xfId="2" applyFont="1" applyFill="1" applyBorder="1" applyAlignment="1">
      <alignment horizontal="center" vertical="center"/>
    </xf>
    <xf numFmtId="0" fontId="0" fillId="0" borderId="11" xfId="2" applyFont="1" applyFill="1" applyBorder="1" applyAlignment="1">
      <alignment shrinkToFit="1"/>
    </xf>
    <xf numFmtId="0" fontId="26" fillId="0" borderId="0" xfId="0" applyFont="1" applyFill="1" applyBorder="1" applyAlignment="1">
      <alignment vertical="center" shrinkToFit="1"/>
    </xf>
    <xf numFmtId="9" fontId="26" fillId="0" borderId="12" xfId="0" applyNumberFormat="1" applyFont="1" applyFill="1" applyBorder="1" applyAlignment="1">
      <alignment horizontal="center" vertical="center" shrinkToFit="1"/>
    </xf>
    <xf numFmtId="0" fontId="0" fillId="0" borderId="11" xfId="3" applyFont="1" applyBorder="1" applyAlignment="1">
      <alignment vertical="center" shrinkToFit="1"/>
    </xf>
    <xf numFmtId="0" fontId="1" fillId="0" borderId="12" xfId="3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1" xfId="3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0" fontId="1" fillId="0" borderId="24" xfId="2" applyFont="1" applyFill="1" applyBorder="1" applyAlignment="1">
      <alignment horizontal="center" vertical="center" shrinkToFit="1"/>
    </xf>
    <xf numFmtId="0" fontId="0" fillId="0" borderId="13" xfId="7" applyFont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28" fillId="0" borderId="44" xfId="0" applyFont="1" applyFill="1" applyBorder="1" applyAlignment="1">
      <alignment vertical="center"/>
    </xf>
    <xf numFmtId="0" fontId="27" fillId="0" borderId="11" xfId="0" applyFont="1" applyBorder="1" applyAlignment="1">
      <alignment vertical="center" shrinkToFit="1"/>
    </xf>
    <xf numFmtId="9" fontId="27" fillId="0" borderId="12" xfId="0" applyNumberFormat="1" applyFont="1" applyBorder="1" applyAlignment="1">
      <alignment horizontal="center" vertical="center" shrinkToFit="1"/>
    </xf>
    <xf numFmtId="9" fontId="26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7" applyFont="1" applyBorder="1" applyAlignment="1">
      <alignment horizontal="left" vertical="center" shrinkToFit="1"/>
    </xf>
    <xf numFmtId="0" fontId="0" fillId="9" borderId="32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23" xfId="2" applyFont="1" applyBorder="1" applyAlignment="1">
      <alignment horizontal="center" vertical="center" shrinkToFit="1"/>
    </xf>
    <xf numFmtId="0" fontId="25" fillId="0" borderId="24" xfId="0" applyFont="1" applyFill="1" applyBorder="1" applyAlignment="1">
      <alignment vertical="center" shrinkToFit="1"/>
    </xf>
    <xf numFmtId="0" fontId="26" fillId="0" borderId="1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5" fillId="0" borderId="12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vertical="center" shrinkToFit="1"/>
    </xf>
    <xf numFmtId="0" fontId="0" fillId="0" borderId="45" xfId="7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0" fillId="0" borderId="20" xfId="0" applyBorder="1" applyAlignment="1">
      <alignment vertical="center" textRotation="255"/>
    </xf>
    <xf numFmtId="0" fontId="0" fillId="0" borderId="0" xfId="0" applyBorder="1" applyAlignment="1">
      <alignment vertical="center" shrinkToFit="1"/>
    </xf>
    <xf numFmtId="0" fontId="1" fillId="0" borderId="12" xfId="2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0" fillId="0" borderId="24" xfId="2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0" fillId="0" borderId="0" xfId="2" applyFont="1" applyFill="1" applyBorder="1" applyAlignment="1">
      <alignment shrinkToFit="1"/>
    </xf>
    <xf numFmtId="0" fontId="3" fillId="0" borderId="11" xfId="0" applyFont="1" applyBorder="1" applyAlignment="1">
      <alignment vertical="center" shrinkToFit="1"/>
    </xf>
    <xf numFmtId="0" fontId="1" fillId="0" borderId="23" xfId="7" applyFont="1" applyBorder="1" applyAlignment="1">
      <alignment horizontal="center" vertical="center" shrinkToFit="1"/>
    </xf>
    <xf numFmtId="0" fontId="1" fillId="0" borderId="12" xfId="7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6" fillId="0" borderId="11" xfId="2" applyFont="1" applyFill="1" applyBorder="1" applyAlignment="1">
      <alignment vertical="center" shrinkToFit="1"/>
    </xf>
    <xf numFmtId="0" fontId="27" fillId="0" borderId="11" xfId="2" applyFont="1" applyFill="1" applyBorder="1" applyAlignment="1">
      <alignment vertical="center" shrinkToFit="1"/>
    </xf>
    <xf numFmtId="9" fontId="27" fillId="0" borderId="12" xfId="2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46" xfId="7" applyFont="1" applyBorder="1" applyAlignment="1">
      <alignment horizontal="center" vertical="center" shrinkToFit="1"/>
    </xf>
    <xf numFmtId="0" fontId="1" fillId="0" borderId="47" xfId="7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1" fillId="0" borderId="11" xfId="2" applyFont="1" applyFill="1" applyBorder="1" applyAlignment="1">
      <alignment horizontal="left" vertical="center" shrinkToFit="1"/>
    </xf>
    <xf numFmtId="0" fontId="30" fillId="0" borderId="11" xfId="0" applyFont="1" applyBorder="1" applyAlignment="1">
      <alignment vertical="center" shrinkToFit="1"/>
    </xf>
    <xf numFmtId="9" fontId="30" fillId="0" borderId="12" xfId="0" applyNumberFormat="1" applyFont="1" applyBorder="1" applyAlignment="1">
      <alignment horizontal="center" vertical="center" shrinkToFit="1"/>
    </xf>
    <xf numFmtId="9" fontId="28" fillId="0" borderId="12" xfId="0" applyNumberFormat="1" applyFont="1" applyBorder="1" applyAlignment="1">
      <alignment horizontal="center" vertical="center" shrinkToFit="1"/>
    </xf>
    <xf numFmtId="0" fontId="32" fillId="0" borderId="0" xfId="0" applyFont="1" applyBorder="1" applyAlignment="1">
      <alignment vertical="center" shrinkToFit="1"/>
    </xf>
    <xf numFmtId="0" fontId="32" fillId="0" borderId="23" xfId="0" applyFont="1" applyBorder="1" applyAlignment="1">
      <alignment horizontal="center" vertical="center" shrinkToFit="1"/>
    </xf>
    <xf numFmtId="0" fontId="0" fillId="0" borderId="23" xfId="2" applyFont="1" applyFill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0" fillId="0" borderId="12" xfId="2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1" fillId="0" borderId="48" xfId="7" applyFont="1" applyBorder="1" applyAlignment="1">
      <alignment horizontal="center" vertical="center" shrinkToFit="1"/>
    </xf>
    <xf numFmtId="0" fontId="1" fillId="0" borderId="49" xfId="7" applyFont="1" applyBorder="1" applyAlignment="1">
      <alignment horizontal="center" vertical="center" shrinkToFit="1"/>
    </xf>
    <xf numFmtId="0" fontId="0" fillId="0" borderId="11" xfId="2" applyFont="1" applyFill="1" applyBorder="1" applyAlignment="1">
      <alignment horizontal="left" vertical="center" shrinkToFit="1"/>
    </xf>
    <xf numFmtId="0" fontId="33" fillId="0" borderId="11" xfId="7" applyFont="1" applyBorder="1" applyAlignment="1">
      <alignment horizontal="left" vertical="center" shrinkToFit="1"/>
    </xf>
    <xf numFmtId="0" fontId="0" fillId="0" borderId="0" xfId="0" applyAlignment="1">
      <alignment vertical="center" textRotation="255"/>
    </xf>
    <xf numFmtId="0" fontId="24" fillId="0" borderId="0" xfId="0" applyFont="1">
      <alignment vertical="center"/>
    </xf>
    <xf numFmtId="0" fontId="0" fillId="0" borderId="11" xfId="0" applyFont="1" applyBorder="1">
      <alignment vertical="center"/>
    </xf>
    <xf numFmtId="0" fontId="27" fillId="0" borderId="11" xfId="0" applyFont="1" applyFill="1" applyBorder="1" applyAlignment="1">
      <alignment vertical="center" shrinkToFit="1"/>
    </xf>
    <xf numFmtId="9" fontId="27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178" fontId="13" fillId="2" borderId="16" xfId="0" applyNumberFormat="1" applyFont="1" applyFill="1" applyBorder="1" applyAlignment="1">
      <alignment horizontal="center" vertical="center" shrinkToFit="1"/>
    </xf>
    <xf numFmtId="178" fontId="13" fillId="2" borderId="17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 shrinkToFit="1"/>
    </xf>
    <xf numFmtId="178" fontId="13" fillId="0" borderId="16" xfId="0" applyNumberFormat="1" applyFont="1" applyFill="1" applyBorder="1" applyAlignment="1">
      <alignment horizontal="center" vertical="center" shrinkToFit="1"/>
    </xf>
    <xf numFmtId="178" fontId="13" fillId="0" borderId="17" xfId="0" applyNumberFormat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4" fillId="0" borderId="11" xfId="1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21" fillId="0" borderId="6" xfId="1" applyFont="1" applyFill="1" applyBorder="1" applyAlignment="1">
      <alignment horizontal="center" vertical="center" wrapText="1" shrinkToFit="1"/>
    </xf>
    <xf numFmtId="0" fontId="22" fillId="0" borderId="8" xfId="0" applyFont="1" applyFill="1" applyBorder="1" applyAlignment="1">
      <alignment horizontal="center" vertical="center" shrinkToFit="1"/>
    </xf>
    <xf numFmtId="0" fontId="21" fillId="0" borderId="11" xfId="1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0" fillId="5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6" fillId="0" borderId="6" xfId="1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center" vertical="center" shrinkToFit="1"/>
    </xf>
    <xf numFmtId="0" fontId="16" fillId="0" borderId="11" xfId="1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4" fillId="15" borderId="6" xfId="1" applyFont="1" applyFill="1" applyBorder="1" applyAlignment="1">
      <alignment horizontal="center" vertical="center" wrapText="1" shrinkToFit="1"/>
    </xf>
    <xf numFmtId="0" fontId="15" fillId="15" borderId="8" xfId="0" applyFont="1" applyFill="1" applyBorder="1" applyAlignment="1">
      <alignment horizontal="center" vertical="center" wrapText="1" shrinkToFit="1"/>
    </xf>
    <xf numFmtId="0" fontId="14" fillId="15" borderId="11" xfId="1" applyFont="1" applyFill="1" applyBorder="1" applyAlignment="1">
      <alignment horizontal="center" vertical="center" wrapText="1" shrinkToFit="1"/>
    </xf>
    <xf numFmtId="0" fontId="15" fillId="15" borderId="12" xfId="0" applyFont="1" applyFill="1" applyBorder="1" applyAlignment="1">
      <alignment horizontal="center" vertical="center" wrapText="1" shrinkToFit="1"/>
    </xf>
    <xf numFmtId="0" fontId="10" fillId="15" borderId="11" xfId="1" applyFont="1" applyFill="1" applyBorder="1" applyAlignment="1">
      <alignment horizontal="center" vertical="center" shrinkToFit="1"/>
    </xf>
    <xf numFmtId="0" fontId="10" fillId="15" borderId="12" xfId="1" applyFont="1" applyFill="1" applyBorder="1" applyAlignment="1">
      <alignment horizontal="center" vertical="center" shrinkToFit="1"/>
    </xf>
    <xf numFmtId="0" fontId="19" fillId="3" borderId="20" xfId="0" applyNumberFormat="1" applyFont="1" applyFill="1" applyBorder="1" applyAlignment="1">
      <alignment horizontal="center"/>
    </xf>
    <xf numFmtId="0" fontId="19" fillId="3" borderId="21" xfId="0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shrinkToFit="1"/>
    </xf>
    <xf numFmtId="0" fontId="29" fillId="13" borderId="0" xfId="0" applyFont="1" applyFill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6" fillId="13" borderId="0" xfId="0" applyFont="1" applyFill="1" applyAlignment="1">
      <alignment horizontal="left" vertical="center" wrapText="1"/>
    </xf>
    <xf numFmtId="0" fontId="0" fillId="13" borderId="0" xfId="0" applyFont="1" applyFill="1" applyAlignment="1">
      <alignment horizontal="left" vertical="center" wrapText="1"/>
    </xf>
    <xf numFmtId="0" fontId="26" fillId="14" borderId="0" xfId="0" applyFont="1" applyFill="1" applyAlignment="1">
      <alignment horizontal="left" vertical="center" wrapText="1"/>
    </xf>
    <xf numFmtId="0" fontId="0" fillId="0" borderId="5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22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textRotation="255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20" xfId="0" applyFont="1" applyFill="1" applyBorder="1" applyAlignment="1">
      <alignment horizontal="center" vertical="center" shrinkToFit="1"/>
    </xf>
    <xf numFmtId="0" fontId="1" fillId="6" borderId="22" xfId="0" applyFont="1" applyFill="1" applyBorder="1" applyAlignment="1">
      <alignment horizontal="center" vertical="center" shrinkToFit="1"/>
    </xf>
    <xf numFmtId="0" fontId="25" fillId="6" borderId="20" xfId="0" applyFont="1" applyFill="1" applyBorder="1" applyAlignment="1">
      <alignment horizontal="center" vertical="center" shrinkToFit="1"/>
    </xf>
    <xf numFmtId="0" fontId="25" fillId="6" borderId="22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5" xfId="0" applyFont="1" applyFill="1" applyBorder="1" applyAlignment="1">
      <alignment horizontal="center" vertical="center" shrinkToFit="1"/>
    </xf>
    <xf numFmtId="0" fontId="1" fillId="6" borderId="25" xfId="0" applyFont="1" applyFill="1" applyBorder="1" applyAlignment="1">
      <alignment horizontal="center" vertical="center" shrinkToFit="1"/>
    </xf>
    <xf numFmtId="0" fontId="25" fillId="6" borderId="21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32" fillId="6" borderId="21" xfId="0" applyFont="1" applyFill="1" applyBorder="1" applyAlignment="1">
      <alignment horizontal="center" vertical="center" shrinkToFit="1"/>
    </xf>
    <xf numFmtId="0" fontId="32" fillId="6" borderId="22" xfId="0" applyFont="1" applyFill="1" applyBorder="1" applyAlignment="1">
      <alignment horizontal="center" vertical="center" shrinkToFit="1"/>
    </xf>
    <xf numFmtId="0" fontId="0" fillId="6" borderId="21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 textRotation="255" shrinkToFit="1"/>
    </xf>
    <xf numFmtId="0" fontId="0" fillId="0" borderId="41" xfId="0" applyFill="1" applyBorder="1" applyAlignment="1">
      <alignment vertical="center" textRotation="255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0" borderId="1" xfId="0" applyFont="1" applyBorder="1" applyAlignment="1">
      <alignment horizontal="right" vertical="center"/>
    </xf>
  </cellXfs>
  <cellStyles count="8">
    <cellStyle name="一般" xfId="0" builtinId="0"/>
    <cellStyle name="一般 2" xfId="2"/>
    <cellStyle name="一般 2 2" xfId="3"/>
    <cellStyle name="一般_東平小11月份菜單(改)" xfId="1"/>
    <cellStyle name="一般_新光國小-8.9月菜單" xfId="7"/>
    <cellStyle name="好_新平國小107年9月菜單(貝佳)" xfId="4"/>
    <cellStyle name="百分比 2" xfId="5"/>
    <cellStyle name="貨幣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134472</xdr:colOff>
      <xdr:row>0</xdr:row>
      <xdr:rowOff>93709</xdr:rowOff>
    </xdr:from>
    <xdr:to>
      <xdr:col>9</xdr:col>
      <xdr:colOff>0</xdr:colOff>
      <xdr:row>0</xdr:row>
      <xdr:rowOff>1321135</xdr:rowOff>
    </xdr:to>
    <xdr:grpSp>
      <xdr:nvGrpSpPr>
        <xdr:cNvPr id="2" name="群組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34472" y="93709"/>
          <a:ext cx="6825886" cy="1227426"/>
          <a:chOff x="14050469" y="2102407"/>
          <a:chExt cx="10766167" cy="855199"/>
        </a:xfrm>
      </xdr:grpSpPr>
      <xdr:sp macro="" textlink="">
        <xdr:nvSpPr>
          <xdr:cNvPr id="3" name="矩形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4050469" y="2130807"/>
            <a:ext cx="3484952" cy="820927"/>
          </a:xfrm>
          <a:prstGeom prst="rect">
            <a:avLst/>
          </a:prstGeom>
          <a:noFill/>
        </xdr:spPr>
        <xdr:txBody>
          <a:bodyPr wrap="square" lIns="91440" tIns="45720" rIns="91440" bIns="45720">
            <a:prstTxWarp prst="textPlain">
              <a:avLst/>
            </a:prstTxWarp>
            <a:spAutoFit/>
          </a:bodyPr>
          <a:lstStyle/>
          <a:p>
            <a:pPr algn="l"/>
            <a:r>
              <a:rPr lang="zh-TW" altLang="en-US" sz="2400" b="0" cap="none" spc="300">
                <a:ln w="11430" cmpd="sng">
                  <a:solidFill>
                    <a:schemeClr val="accent1">
                      <a:tint val="10000"/>
                    </a:schemeClr>
                  </a:solidFill>
                  <a:prstDash val="solid"/>
                  <a:miter lim="800000"/>
                </a:ln>
                <a:gradFill>
                  <a:gsLst>
                    <a:gs pos="10000">
                      <a:schemeClr val="accent1">
                        <a:tint val="83000"/>
                        <a:shade val="100000"/>
                        <a:satMod val="200000"/>
                      </a:schemeClr>
                    </a:gs>
                    <a:gs pos="75000">
                      <a:schemeClr val="accent1">
                        <a:tint val="100000"/>
                        <a:shade val="50000"/>
                        <a:satMod val="150000"/>
                      </a:schemeClr>
                    </a:gs>
                  </a:gsLst>
                  <a:lin ang="5400000"/>
                </a:gradFill>
                <a:effectLst>
                  <a:glow rad="45500">
                    <a:schemeClr val="accent1">
                      <a:satMod val="220000"/>
                      <a:alpha val="35000"/>
                    </a:schemeClr>
                  </a:glow>
                </a:effectLst>
                <a:latin typeface="華康超圓體(P)" pitchFamily="34" charset="-120"/>
                <a:ea typeface="華康超圓體(P)" pitchFamily="34" charset="-120"/>
              </a:rPr>
              <a:t>興大附農</a:t>
            </a:r>
          </a:p>
        </xdr:txBody>
      </xdr:sp>
      <xdr:sp macro="" textlink="">
        <xdr:nvSpPr>
          <xdr:cNvPr id="4" name="矩形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8183858" y="2110444"/>
            <a:ext cx="4168068" cy="406037"/>
          </a:xfrm>
          <a:prstGeom prst="rect">
            <a:avLst/>
          </a:prstGeom>
          <a:noFill/>
        </xdr:spPr>
        <xdr:txBody>
          <a:bodyPr wrap="square" lIns="91440" tIns="45720" rIns="91440" bIns="45720">
            <a:prstTxWarp prst="textPlain">
              <a:avLst/>
            </a:prstTxWarp>
            <a:noAutofit/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zh-TW" altLang="en-US" sz="1800" b="0" cap="none" spc="50">
                <a:ln w="11430">
                  <a:solidFill>
                    <a:schemeClr val="tx1"/>
                  </a:solidFill>
                </a:ln>
                <a:solidFill>
                  <a:srgbClr val="FF0000"/>
                </a:solidFill>
                <a:effectLst/>
                <a:latin typeface="華康超圓體(P)" pitchFamily="34" charset="-120"/>
                <a:ea typeface="華康超圓體(P)" pitchFamily="34" charset="-120"/>
              </a:rPr>
              <a:t>貝佳實業有限公司</a:t>
            </a:r>
            <a:endParaRPr lang="zh-TW" altLang="en-US" sz="18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endParaRPr>
          </a:p>
        </xdr:txBody>
      </xdr:sp>
      <xdr:pic>
        <xdr:nvPicPr>
          <xdr:cNvPr id="5" name="圖片 4" descr="HACCP.pn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2621914" y="2102407"/>
            <a:ext cx="745926" cy="398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圖片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23493152" y="2200734"/>
            <a:ext cx="1323484" cy="584688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pic>
        <xdr:nvPicPr>
          <xdr:cNvPr id="7" name="圖片 6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5932" t="6356" r="4662" b="7627"/>
          <a:stretch/>
        </xdr:blipFill>
        <xdr:spPr>
          <a:xfrm>
            <a:off x="22672723" y="2502706"/>
            <a:ext cx="756368" cy="4549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224118</xdr:colOff>
      <xdr:row>0</xdr:row>
      <xdr:rowOff>771864</xdr:rowOff>
    </xdr:from>
    <xdr:to>
      <xdr:col>8</xdr:col>
      <xdr:colOff>784411</xdr:colOff>
      <xdr:row>0</xdr:row>
      <xdr:rowOff>1305656</xdr:rowOff>
    </xdr:to>
    <xdr:sp macro="" textlink="">
      <xdr:nvSpPr>
        <xdr:cNvPr id="8" name="矩形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3338793" y="771864"/>
          <a:ext cx="4294093" cy="533792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>
              <a:gd name="adj" fmla="val 49621"/>
            </a:avLst>
          </a:prstTxWarp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zh-TW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109</a:t>
          </a:r>
          <a:r>
            <a:rPr lang="zh-TW" altLang="en-US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年</a:t>
          </a:r>
          <a:r>
            <a:rPr lang="en-US" altLang="zh-TW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4</a:t>
          </a:r>
          <a:r>
            <a:rPr lang="zh-TW" altLang="en-US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月晚餐菜單</a:t>
          </a:r>
        </a:p>
      </xdr:txBody>
    </xdr:sp>
    <xdr:clientData/>
  </xdr:twoCellAnchor>
  <xdr:twoCellAnchor editAs="oneCell">
    <xdr:from>
      <xdr:col>1</xdr:col>
      <xdr:colOff>515471</xdr:colOff>
      <xdr:row>1</xdr:row>
      <xdr:rowOff>11207</xdr:rowOff>
    </xdr:from>
    <xdr:to>
      <xdr:col>4</xdr:col>
      <xdr:colOff>268941</xdr:colOff>
      <xdr:row>10</xdr:row>
      <xdr:rowOff>100853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9236" y="1378325"/>
          <a:ext cx="2543734" cy="2543734"/>
        </a:xfrm>
        <a:prstGeom prst="rect">
          <a:avLst/>
        </a:prstGeom>
      </xdr:spPr>
    </xdr:pic>
    <xdr:clientData/>
  </xdr:twoCellAnchor>
  <xdr:twoCellAnchor>
    <xdr:from>
      <xdr:col>7</xdr:col>
      <xdr:colOff>89647</xdr:colOff>
      <xdr:row>2</xdr:row>
      <xdr:rowOff>56029</xdr:rowOff>
    </xdr:from>
    <xdr:to>
      <xdr:col>8</xdr:col>
      <xdr:colOff>862853</xdr:colOff>
      <xdr:row>9</xdr:row>
      <xdr:rowOff>124946</xdr:rowOff>
    </xdr:to>
    <xdr:grpSp>
      <xdr:nvGrpSpPr>
        <xdr:cNvPr id="10" name="群組 9"/>
        <xdr:cNvGrpSpPr/>
      </xdr:nvGrpSpPr>
      <xdr:grpSpPr>
        <a:xfrm>
          <a:off x="5380161" y="1621508"/>
          <a:ext cx="1580832" cy="2091997"/>
          <a:chOff x="5983940" y="1692088"/>
          <a:chExt cx="3518648" cy="2029946"/>
        </a:xfrm>
      </xdr:grpSpPr>
      <xdr:pic>
        <xdr:nvPicPr>
          <xdr:cNvPr id="11" name="圖片 10" descr="「清明節」的圖片搜尋結果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983940" y="1692088"/>
            <a:ext cx="3518648" cy="20299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圖片 11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732229" y="2263590"/>
            <a:ext cx="993624" cy="89647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="85" zoomScaleNormal="85" zoomScaleSheetLayoutView="85" workbookViewId="0">
      <selection activeCell="L40" sqref="L40:M40"/>
    </sheetView>
  </sheetViews>
  <sheetFormatPr defaultRowHeight="15.6"/>
  <cols>
    <col min="1" max="1" width="4.09765625" customWidth="1"/>
    <col min="2" max="9" width="12.19921875" customWidth="1"/>
  </cols>
  <sheetData>
    <row r="1" spans="1:13" ht="108" customHeight="1" thickBot="1">
      <c r="A1" s="177"/>
      <c r="B1" s="177"/>
      <c r="C1" s="177"/>
      <c r="D1" s="177"/>
      <c r="E1" s="177"/>
      <c r="F1" s="177"/>
      <c r="G1" s="177"/>
      <c r="H1" s="177"/>
      <c r="I1" s="177"/>
    </row>
    <row r="2" spans="1:13" s="4" customFormat="1" ht="15.05">
      <c r="A2" s="178" t="s">
        <v>49</v>
      </c>
      <c r="B2" s="1">
        <v>43920</v>
      </c>
      <c r="C2" s="2" t="s">
        <v>0</v>
      </c>
      <c r="D2" s="3">
        <f>B2+1</f>
        <v>43921</v>
      </c>
      <c r="E2" s="2" t="s">
        <v>1</v>
      </c>
      <c r="F2" s="3">
        <f>D2+1</f>
        <v>43922</v>
      </c>
      <c r="G2" s="2" t="s">
        <v>2</v>
      </c>
      <c r="H2" s="3">
        <f>F2+1</f>
        <v>43923</v>
      </c>
      <c r="I2" s="2" t="s">
        <v>3</v>
      </c>
    </row>
    <row r="3" spans="1:13" s="5" customFormat="1" ht="22.6" customHeight="1">
      <c r="A3" s="179"/>
      <c r="B3" s="181"/>
      <c r="C3" s="182"/>
      <c r="D3" s="182"/>
      <c r="E3" s="183"/>
      <c r="F3" s="190" t="s">
        <v>19</v>
      </c>
      <c r="G3" s="191"/>
      <c r="H3" s="181"/>
      <c r="I3" s="182"/>
    </row>
    <row r="4" spans="1:13" s="5" customFormat="1" ht="22.6" customHeight="1">
      <c r="A4" s="179"/>
      <c r="B4" s="184"/>
      <c r="C4" s="185"/>
      <c r="D4" s="185"/>
      <c r="E4" s="186"/>
      <c r="F4" s="192" t="s">
        <v>25</v>
      </c>
      <c r="G4" s="193"/>
      <c r="H4" s="184"/>
      <c r="I4" s="185"/>
    </row>
    <row r="5" spans="1:13" s="5" customFormat="1" ht="22.6" customHeight="1">
      <c r="A5" s="179"/>
      <c r="B5" s="184"/>
      <c r="C5" s="185"/>
      <c r="D5" s="185"/>
      <c r="E5" s="186"/>
      <c r="F5" s="194"/>
      <c r="G5" s="195"/>
      <c r="H5" s="184"/>
      <c r="I5" s="185"/>
    </row>
    <row r="6" spans="1:13" s="5" customFormat="1" ht="22.6" customHeight="1">
      <c r="A6" s="179"/>
      <c r="B6" s="184"/>
      <c r="C6" s="185"/>
      <c r="D6" s="185"/>
      <c r="E6" s="186"/>
      <c r="F6" s="196" t="s">
        <v>26</v>
      </c>
      <c r="G6" s="197"/>
      <c r="H6" s="184"/>
      <c r="I6" s="185"/>
    </row>
    <row r="7" spans="1:13" s="5" customFormat="1" ht="22.6" customHeight="1">
      <c r="A7" s="179"/>
      <c r="B7" s="184"/>
      <c r="C7" s="185"/>
      <c r="D7" s="185"/>
      <c r="E7" s="186"/>
      <c r="F7" s="198" t="s">
        <v>27</v>
      </c>
      <c r="G7" s="199"/>
      <c r="H7" s="184"/>
      <c r="I7" s="185"/>
    </row>
    <row r="8" spans="1:13" s="5" customFormat="1" ht="22.6" customHeight="1">
      <c r="A8" s="179"/>
      <c r="B8" s="184"/>
      <c r="C8" s="185"/>
      <c r="D8" s="185"/>
      <c r="E8" s="186"/>
      <c r="F8" s="200" t="s">
        <v>20</v>
      </c>
      <c r="G8" s="201"/>
      <c r="H8" s="184"/>
      <c r="I8" s="185"/>
    </row>
    <row r="9" spans="1:13" s="5" customFormat="1" ht="22.6" customHeight="1" thickBot="1">
      <c r="A9" s="180"/>
      <c r="B9" s="184"/>
      <c r="C9" s="185"/>
      <c r="D9" s="185"/>
      <c r="E9" s="186"/>
      <c r="F9" s="196" t="s">
        <v>30</v>
      </c>
      <c r="G9" s="197"/>
      <c r="H9" s="184"/>
      <c r="I9" s="185"/>
    </row>
    <row r="10" spans="1:13" s="4" customFormat="1" ht="17.2" customHeight="1" thickBot="1">
      <c r="A10" s="6" t="s">
        <v>4</v>
      </c>
      <c r="B10" s="187"/>
      <c r="C10" s="188"/>
      <c r="D10" s="188"/>
      <c r="E10" s="189"/>
      <c r="F10" s="202">
        <f>'4月明細(晚餐)'!W26</f>
        <v>875.04971861471859</v>
      </c>
      <c r="G10" s="203"/>
      <c r="H10" s="187"/>
      <c r="I10" s="188"/>
    </row>
    <row r="11" spans="1:13" s="4" customFormat="1" ht="17.5" customHeight="1">
      <c r="A11" s="178" t="s">
        <v>50</v>
      </c>
      <c r="B11" s="1">
        <f>H2+4</f>
        <v>43927</v>
      </c>
      <c r="C11" s="2" t="s">
        <v>5</v>
      </c>
      <c r="D11" s="3">
        <f>B11+1</f>
        <v>43928</v>
      </c>
      <c r="E11" s="2" t="s">
        <v>1</v>
      </c>
      <c r="F11" s="3">
        <f>D11+1</f>
        <v>43929</v>
      </c>
      <c r="G11" s="2" t="s">
        <v>2</v>
      </c>
      <c r="H11" s="3">
        <f>F11+1</f>
        <v>43930</v>
      </c>
      <c r="I11" s="2" t="s">
        <v>3</v>
      </c>
    </row>
    <row r="12" spans="1:13" s="5" customFormat="1" ht="22.6" customHeight="1">
      <c r="A12" s="179"/>
      <c r="B12" s="212" t="s">
        <v>17</v>
      </c>
      <c r="C12" s="213"/>
      <c r="D12" s="190" t="s">
        <v>18</v>
      </c>
      <c r="E12" s="191"/>
      <c r="F12" s="190" t="s">
        <v>19</v>
      </c>
      <c r="G12" s="191"/>
      <c r="H12" s="190" t="s">
        <v>46</v>
      </c>
      <c r="I12" s="191"/>
    </row>
    <row r="13" spans="1:13" s="5" customFormat="1" ht="22.6" customHeight="1">
      <c r="A13" s="179"/>
      <c r="B13" s="204" t="s">
        <v>149</v>
      </c>
      <c r="C13" s="216"/>
      <c r="D13" s="204" t="s">
        <v>140</v>
      </c>
      <c r="E13" s="205"/>
      <c r="F13" s="208" t="s">
        <v>153</v>
      </c>
      <c r="G13" s="209"/>
      <c r="H13" s="192" t="s">
        <v>139</v>
      </c>
      <c r="I13" s="193"/>
    </row>
    <row r="14" spans="1:13" s="5" customFormat="1" ht="22.6" customHeight="1">
      <c r="A14" s="179"/>
      <c r="B14" s="217"/>
      <c r="C14" s="218"/>
      <c r="D14" s="206"/>
      <c r="E14" s="207"/>
      <c r="F14" s="210"/>
      <c r="G14" s="211"/>
      <c r="H14" s="194"/>
      <c r="I14" s="195"/>
    </row>
    <row r="15" spans="1:13" s="5" customFormat="1" ht="22.6" customHeight="1">
      <c r="A15" s="179"/>
      <c r="B15" s="198" t="s">
        <v>28</v>
      </c>
      <c r="C15" s="199"/>
      <c r="D15" s="198" t="s">
        <v>57</v>
      </c>
      <c r="E15" s="199"/>
      <c r="F15" s="198" t="s">
        <v>37</v>
      </c>
      <c r="G15" s="199"/>
      <c r="H15" s="198" t="s">
        <v>34</v>
      </c>
      <c r="I15" s="199"/>
      <c r="L15" s="214"/>
      <c r="M15" s="214"/>
    </row>
    <row r="16" spans="1:13" s="5" customFormat="1" ht="22.6" customHeight="1">
      <c r="A16" s="179"/>
      <c r="B16" s="198" t="s">
        <v>29</v>
      </c>
      <c r="C16" s="199"/>
      <c r="D16" s="198" t="s">
        <v>381</v>
      </c>
      <c r="E16" s="199"/>
      <c r="F16" s="198" t="s">
        <v>32</v>
      </c>
      <c r="G16" s="199"/>
      <c r="H16" s="198" t="s">
        <v>33</v>
      </c>
      <c r="I16" s="199"/>
      <c r="L16" s="172"/>
      <c r="M16" s="172"/>
    </row>
    <row r="17" spans="1:17" s="5" customFormat="1" ht="22.6" customHeight="1">
      <c r="A17" s="179"/>
      <c r="B17" s="200" t="s">
        <v>21</v>
      </c>
      <c r="C17" s="201"/>
      <c r="D17" s="200" t="s">
        <v>22</v>
      </c>
      <c r="E17" s="201"/>
      <c r="F17" s="200" t="s">
        <v>23</v>
      </c>
      <c r="G17" s="201"/>
      <c r="H17" s="200" t="s">
        <v>24</v>
      </c>
      <c r="I17" s="201"/>
    </row>
    <row r="18" spans="1:17" s="5" customFormat="1" ht="22.6" customHeight="1" thickBot="1">
      <c r="A18" s="180"/>
      <c r="B18" s="196" t="s">
        <v>45</v>
      </c>
      <c r="C18" s="197"/>
      <c r="D18" s="198" t="s">
        <v>398</v>
      </c>
      <c r="E18" s="199"/>
      <c r="F18" s="198" t="s">
        <v>148</v>
      </c>
      <c r="G18" s="199"/>
      <c r="H18" s="198" t="s">
        <v>39</v>
      </c>
      <c r="I18" s="199"/>
    </row>
    <row r="19" spans="1:17" s="4" customFormat="1" ht="24.2" thickBot="1">
      <c r="A19" s="6" t="s">
        <v>4</v>
      </c>
      <c r="B19" s="175">
        <f>'4月明細(晚餐)'!W57</f>
        <v>876.20857142857142</v>
      </c>
      <c r="C19" s="176"/>
      <c r="D19" s="175">
        <f>'4月明細(晚餐)'!W65</f>
        <v>881.2903318903318</v>
      </c>
      <c r="E19" s="176"/>
      <c r="F19" s="175">
        <f>'4月明細(晚餐)'!W73</f>
        <v>871.84</v>
      </c>
      <c r="G19" s="176"/>
      <c r="H19" s="175">
        <f>'4月明細(晚餐)'!W81</f>
        <v>864.28428571428572</v>
      </c>
      <c r="I19" s="176"/>
      <c r="K19" s="214"/>
      <c r="L19" s="214"/>
      <c r="M19" s="173"/>
      <c r="N19" s="173"/>
      <c r="O19" s="215"/>
      <c r="P19" s="215"/>
      <c r="Q19" s="173"/>
    </row>
    <row r="20" spans="1:17" s="4" customFormat="1" ht="17.5" customHeight="1">
      <c r="A20" s="178" t="s">
        <v>51</v>
      </c>
      <c r="B20" s="7">
        <f>H11+4</f>
        <v>43934</v>
      </c>
      <c r="C20" s="8" t="s">
        <v>6</v>
      </c>
      <c r="D20" s="9">
        <f>B20+1</f>
        <v>43935</v>
      </c>
      <c r="E20" s="8" t="s">
        <v>7</v>
      </c>
      <c r="F20" s="9">
        <f>D20+1</f>
        <v>43936</v>
      </c>
      <c r="G20" s="8" t="s">
        <v>8</v>
      </c>
      <c r="H20" s="9">
        <f>F20+1</f>
        <v>43937</v>
      </c>
      <c r="I20" s="8" t="s">
        <v>9</v>
      </c>
    </row>
    <row r="21" spans="1:17" s="5" customFormat="1" ht="22.6" customHeight="1">
      <c r="A21" s="179"/>
      <c r="B21" s="212" t="s">
        <v>17</v>
      </c>
      <c r="C21" s="213"/>
      <c r="D21" s="190" t="s">
        <v>18</v>
      </c>
      <c r="E21" s="191"/>
      <c r="F21" s="190" t="s">
        <v>19</v>
      </c>
      <c r="G21" s="191"/>
      <c r="H21" s="190" t="s">
        <v>47</v>
      </c>
      <c r="I21" s="191"/>
      <c r="K21" s="172"/>
      <c r="L21" s="172"/>
      <c r="M21" s="172"/>
      <c r="N21" s="172"/>
    </row>
    <row r="22" spans="1:17" s="5" customFormat="1" ht="22.6" customHeight="1">
      <c r="A22" s="179"/>
      <c r="B22" s="208" t="s">
        <v>163</v>
      </c>
      <c r="C22" s="209"/>
      <c r="D22" s="208" t="s">
        <v>172</v>
      </c>
      <c r="E22" s="209"/>
      <c r="F22" s="224" t="s">
        <v>418</v>
      </c>
      <c r="G22" s="225"/>
      <c r="H22" s="204" t="s">
        <v>141</v>
      </c>
      <c r="I22" s="205"/>
      <c r="K22" s="215"/>
      <c r="L22" s="215"/>
      <c r="M22" s="172"/>
      <c r="N22" s="172"/>
    </row>
    <row r="23" spans="1:17" s="5" customFormat="1" ht="22.6" customHeight="1">
      <c r="A23" s="179"/>
      <c r="B23" s="210"/>
      <c r="C23" s="211"/>
      <c r="D23" s="210"/>
      <c r="E23" s="211"/>
      <c r="F23" s="226"/>
      <c r="G23" s="227"/>
      <c r="H23" s="206"/>
      <c r="I23" s="207"/>
      <c r="K23" s="172"/>
      <c r="L23" s="172"/>
      <c r="M23" s="172"/>
      <c r="N23" s="172"/>
    </row>
    <row r="24" spans="1:17" s="5" customFormat="1" ht="22.6" customHeight="1">
      <c r="A24" s="179"/>
      <c r="B24" s="198" t="s">
        <v>173</v>
      </c>
      <c r="C24" s="199"/>
      <c r="D24" s="198" t="s">
        <v>385</v>
      </c>
      <c r="E24" s="199"/>
      <c r="F24" s="198" t="s">
        <v>150</v>
      </c>
      <c r="G24" s="199"/>
      <c r="H24" s="198" t="s">
        <v>403</v>
      </c>
      <c r="I24" s="199"/>
      <c r="K24" s="172"/>
      <c r="L24" s="215"/>
      <c r="M24" s="215"/>
      <c r="N24" s="172"/>
    </row>
    <row r="25" spans="1:17" s="5" customFormat="1" ht="22.6" customHeight="1">
      <c r="A25" s="179"/>
      <c r="B25" s="198" t="s">
        <v>389</v>
      </c>
      <c r="C25" s="199"/>
      <c r="D25" s="198" t="s">
        <v>55</v>
      </c>
      <c r="E25" s="199"/>
      <c r="F25" s="196" t="s">
        <v>151</v>
      </c>
      <c r="G25" s="197"/>
      <c r="H25" s="198" t="s">
        <v>145</v>
      </c>
      <c r="I25" s="199"/>
      <c r="K25" s="172"/>
      <c r="L25" s="172"/>
      <c r="M25" s="172"/>
      <c r="N25" s="172"/>
    </row>
    <row r="26" spans="1:17" s="5" customFormat="1" ht="22.6" customHeight="1">
      <c r="A26" s="179"/>
      <c r="B26" s="200" t="s">
        <v>22</v>
      </c>
      <c r="C26" s="201"/>
      <c r="D26" s="200" t="s">
        <v>23</v>
      </c>
      <c r="E26" s="201"/>
      <c r="F26" s="200" t="s">
        <v>20</v>
      </c>
      <c r="G26" s="201"/>
      <c r="H26" s="200" t="s">
        <v>24</v>
      </c>
      <c r="I26" s="201"/>
      <c r="K26" s="172"/>
      <c r="L26" s="172"/>
      <c r="M26" s="223"/>
      <c r="N26" s="223"/>
    </row>
    <row r="27" spans="1:17" s="5" customFormat="1" ht="22.6" customHeight="1" thickBot="1">
      <c r="A27" s="180"/>
      <c r="B27" s="198" t="s">
        <v>413</v>
      </c>
      <c r="C27" s="199"/>
      <c r="D27" s="198" t="s">
        <v>386</v>
      </c>
      <c r="E27" s="199"/>
      <c r="F27" s="198" t="s">
        <v>44</v>
      </c>
      <c r="G27" s="199"/>
      <c r="H27" s="198" t="s">
        <v>40</v>
      </c>
      <c r="I27" s="199"/>
      <c r="K27" s="172"/>
      <c r="L27" s="172"/>
      <c r="M27" s="172"/>
      <c r="N27" s="172"/>
    </row>
    <row r="28" spans="1:17" s="4" customFormat="1" ht="24.2" thickBot="1">
      <c r="A28" s="6" t="s">
        <v>10</v>
      </c>
      <c r="B28" s="175">
        <f>'4月明細(晚餐)'!W104</f>
        <v>885.28863636363633</v>
      </c>
      <c r="C28" s="176"/>
      <c r="D28" s="175">
        <f>'4月明細(晚餐)'!W112</f>
        <v>877.86441558441561</v>
      </c>
      <c r="E28" s="176"/>
      <c r="F28" s="175">
        <f>'4月明細(晚餐)'!W120</f>
        <v>865.02822510822512</v>
      </c>
      <c r="G28" s="176"/>
      <c r="H28" s="175">
        <f>'4月明細(晚餐)'!W128</f>
        <v>860.09285714285716</v>
      </c>
      <c r="I28" s="176"/>
      <c r="K28" s="215"/>
      <c r="L28" s="215"/>
    </row>
    <row r="29" spans="1:17" s="4" customFormat="1" ht="17.5" customHeight="1">
      <c r="A29" s="178" t="s">
        <v>52</v>
      </c>
      <c r="B29" s="1">
        <f>H20+4</f>
        <v>43941</v>
      </c>
      <c r="C29" s="2" t="s">
        <v>11</v>
      </c>
      <c r="D29" s="3">
        <f>B29+1</f>
        <v>43942</v>
      </c>
      <c r="E29" s="2" t="s">
        <v>12</v>
      </c>
      <c r="F29" s="3">
        <f>D29+1</f>
        <v>43943</v>
      </c>
      <c r="G29" s="2" t="s">
        <v>13</v>
      </c>
      <c r="H29" s="3">
        <f>F29+1</f>
        <v>43944</v>
      </c>
      <c r="I29" s="2" t="s">
        <v>14</v>
      </c>
      <c r="K29" s="173"/>
      <c r="L29" s="173"/>
    </row>
    <row r="30" spans="1:17" s="5" customFormat="1" ht="22.6" customHeight="1">
      <c r="A30" s="179"/>
      <c r="B30" s="212" t="s">
        <v>17</v>
      </c>
      <c r="C30" s="213"/>
      <c r="D30" s="190" t="s">
        <v>18</v>
      </c>
      <c r="E30" s="191"/>
      <c r="F30" s="190" t="s">
        <v>19</v>
      </c>
      <c r="G30" s="191"/>
      <c r="H30" s="190" t="s">
        <v>48</v>
      </c>
      <c r="I30" s="191"/>
    </row>
    <row r="31" spans="1:17" s="5" customFormat="1" ht="22.6" customHeight="1">
      <c r="A31" s="179"/>
      <c r="B31" s="208" t="s">
        <v>146</v>
      </c>
      <c r="C31" s="209"/>
      <c r="D31" s="204" t="s">
        <v>31</v>
      </c>
      <c r="E31" s="205"/>
      <c r="F31" s="219" t="s">
        <v>147</v>
      </c>
      <c r="G31" s="220"/>
      <c r="H31" s="208" t="s">
        <v>142</v>
      </c>
      <c r="I31" s="209"/>
      <c r="L31" s="215"/>
      <c r="M31" s="215"/>
      <c r="N31" s="172"/>
      <c r="O31" s="172"/>
    </row>
    <row r="32" spans="1:17" s="5" customFormat="1" ht="22.6" customHeight="1">
      <c r="A32" s="179"/>
      <c r="B32" s="210"/>
      <c r="C32" s="211"/>
      <c r="D32" s="206"/>
      <c r="E32" s="207"/>
      <c r="F32" s="221"/>
      <c r="G32" s="222"/>
      <c r="H32" s="210"/>
      <c r="I32" s="211"/>
      <c r="J32" s="198"/>
      <c r="K32" s="215"/>
      <c r="L32" s="172"/>
      <c r="M32" s="172"/>
      <c r="N32" s="172"/>
      <c r="O32" s="172"/>
    </row>
    <row r="33" spans="1:17" s="5" customFormat="1" ht="22.6" customHeight="1">
      <c r="A33" s="179"/>
      <c r="B33" s="198" t="s">
        <v>175</v>
      </c>
      <c r="C33" s="199"/>
      <c r="D33" s="198" t="s">
        <v>169</v>
      </c>
      <c r="E33" s="199"/>
      <c r="F33" s="198" t="s">
        <v>170</v>
      </c>
      <c r="G33" s="199"/>
      <c r="H33" s="198" t="s">
        <v>156</v>
      </c>
      <c r="I33" s="199"/>
      <c r="K33" s="172"/>
      <c r="L33" s="172"/>
      <c r="M33" s="172"/>
      <c r="N33" s="215"/>
      <c r="O33" s="215"/>
      <c r="P33" s="172"/>
      <c r="Q33" s="172"/>
    </row>
    <row r="34" spans="1:17" s="5" customFormat="1" ht="22.6" customHeight="1">
      <c r="A34" s="179"/>
      <c r="B34" s="198" t="s">
        <v>35</v>
      </c>
      <c r="C34" s="199"/>
      <c r="D34" s="228" t="s">
        <v>423</v>
      </c>
      <c r="E34" s="229"/>
      <c r="F34" s="198" t="s">
        <v>36</v>
      </c>
      <c r="G34" s="199"/>
      <c r="H34" s="198" t="s">
        <v>164</v>
      </c>
      <c r="I34" s="199"/>
      <c r="K34" s="172"/>
      <c r="L34" s="172"/>
      <c r="M34" s="172"/>
      <c r="N34" s="172"/>
      <c r="O34" s="172"/>
      <c r="P34" s="215"/>
      <c r="Q34" s="215"/>
    </row>
    <row r="35" spans="1:17" s="5" customFormat="1" ht="22.6" customHeight="1">
      <c r="A35" s="179"/>
      <c r="B35" s="200" t="s">
        <v>24</v>
      </c>
      <c r="C35" s="201"/>
      <c r="D35" s="200" t="s">
        <v>20</v>
      </c>
      <c r="E35" s="201"/>
      <c r="F35" s="200" t="s">
        <v>21</v>
      </c>
      <c r="G35" s="201"/>
      <c r="H35" s="200" t="s">
        <v>23</v>
      </c>
      <c r="I35" s="201"/>
      <c r="K35" s="172"/>
      <c r="L35" s="215"/>
      <c r="M35" s="215"/>
      <c r="N35" s="172"/>
      <c r="O35" s="172"/>
      <c r="P35" s="172"/>
      <c r="Q35" s="172"/>
    </row>
    <row r="36" spans="1:17" s="5" customFormat="1" ht="22.6" customHeight="1" thickBot="1">
      <c r="A36" s="180"/>
      <c r="B36" s="196" t="s">
        <v>415</v>
      </c>
      <c r="C36" s="197"/>
      <c r="D36" s="198" t="s">
        <v>30</v>
      </c>
      <c r="E36" s="199"/>
      <c r="F36" s="198" t="s">
        <v>43</v>
      </c>
      <c r="G36" s="199"/>
      <c r="H36" s="198" t="s">
        <v>41</v>
      </c>
      <c r="I36" s="199"/>
      <c r="K36" s="172"/>
      <c r="L36" s="172"/>
      <c r="M36" s="174"/>
      <c r="N36" s="172"/>
      <c r="O36" s="172"/>
      <c r="P36" s="172"/>
      <c r="Q36" s="172"/>
    </row>
    <row r="37" spans="1:17" s="4" customFormat="1" ht="24.2" thickBot="1">
      <c r="A37" s="6" t="s">
        <v>15</v>
      </c>
      <c r="B37" s="175">
        <f>'4月明細(晚餐)'!W151</f>
        <v>905.72621212121214</v>
      </c>
      <c r="C37" s="176"/>
      <c r="D37" s="175">
        <f>'4月明細(晚餐)'!W159</f>
        <v>877.12116161616166</v>
      </c>
      <c r="E37" s="176"/>
      <c r="F37" s="175">
        <f>'4月明細(晚餐)'!W167</f>
        <v>822.70885714285714</v>
      </c>
      <c r="G37" s="176"/>
      <c r="H37" s="175">
        <f>'4月明細(晚餐)'!W175</f>
        <v>869.71309523809509</v>
      </c>
      <c r="I37" s="176"/>
      <c r="K37" s="173"/>
      <c r="L37" s="173"/>
      <c r="M37" s="215"/>
      <c r="N37" s="215"/>
      <c r="O37" s="173"/>
      <c r="P37" s="173"/>
      <c r="Q37" s="173"/>
    </row>
    <row r="38" spans="1:17" s="4" customFormat="1" ht="17.5" customHeight="1">
      <c r="A38" s="178" t="s">
        <v>53</v>
      </c>
      <c r="B38" s="1">
        <f>H29+4</f>
        <v>43948</v>
      </c>
      <c r="C38" s="2" t="s">
        <v>416</v>
      </c>
      <c r="D38" s="3">
        <f>B38+1</f>
        <v>43949</v>
      </c>
      <c r="E38" s="2" t="s">
        <v>12</v>
      </c>
      <c r="F38" s="3">
        <f>D38+1</f>
        <v>43950</v>
      </c>
      <c r="G38" s="2" t="s">
        <v>13</v>
      </c>
      <c r="H38" s="3">
        <f>F38+1</f>
        <v>43951</v>
      </c>
      <c r="I38" s="2" t="s">
        <v>14</v>
      </c>
      <c r="K38" s="232"/>
      <c r="L38" s="232"/>
      <c r="M38" s="173"/>
      <c r="N38" s="173"/>
      <c r="O38" s="173"/>
      <c r="P38" s="173"/>
      <c r="Q38" s="173"/>
    </row>
    <row r="39" spans="1:17" s="5" customFormat="1" ht="22.6" customHeight="1">
      <c r="A39" s="179"/>
      <c r="B39" s="212" t="s">
        <v>17</v>
      </c>
      <c r="C39" s="213"/>
      <c r="D39" s="190" t="s">
        <v>18</v>
      </c>
      <c r="E39" s="191"/>
      <c r="F39" s="190" t="s">
        <v>19</v>
      </c>
      <c r="G39" s="191"/>
      <c r="H39" s="190" t="s">
        <v>54</v>
      </c>
      <c r="I39" s="191"/>
      <c r="K39" s="172"/>
      <c r="L39" s="172"/>
      <c r="M39" s="172"/>
      <c r="N39" s="172"/>
      <c r="O39" s="172"/>
      <c r="P39" s="172"/>
      <c r="Q39" s="172"/>
    </row>
    <row r="40" spans="1:17" s="5" customFormat="1" ht="22.6" customHeight="1">
      <c r="A40" s="179"/>
      <c r="B40" s="208" t="s">
        <v>168</v>
      </c>
      <c r="C40" s="209"/>
      <c r="D40" s="208" t="s">
        <v>143</v>
      </c>
      <c r="E40" s="209"/>
      <c r="F40" s="208" t="s">
        <v>167</v>
      </c>
      <c r="G40" s="209"/>
      <c r="H40" s="208" t="s">
        <v>152</v>
      </c>
      <c r="I40" s="209"/>
      <c r="K40" s="172"/>
      <c r="L40" s="215"/>
      <c r="M40" s="215"/>
      <c r="N40" s="172"/>
      <c r="O40" s="172"/>
      <c r="P40" s="172"/>
      <c r="Q40" s="172"/>
    </row>
    <row r="41" spans="1:17" s="5" customFormat="1" ht="22.6" customHeight="1">
      <c r="A41" s="179"/>
      <c r="B41" s="210"/>
      <c r="C41" s="211"/>
      <c r="D41" s="210"/>
      <c r="E41" s="211"/>
      <c r="F41" s="210"/>
      <c r="G41" s="211"/>
      <c r="H41" s="210"/>
      <c r="I41" s="211"/>
      <c r="K41" s="172"/>
      <c r="L41" s="172"/>
      <c r="M41" s="172"/>
      <c r="N41" s="172"/>
      <c r="O41" s="172"/>
      <c r="P41" s="172"/>
      <c r="Q41" s="172"/>
    </row>
    <row r="42" spans="1:17" s="5" customFormat="1" ht="22.6" customHeight="1">
      <c r="A42" s="179"/>
      <c r="B42" s="198" t="s">
        <v>387</v>
      </c>
      <c r="C42" s="199"/>
      <c r="D42" s="198" t="s">
        <v>176</v>
      </c>
      <c r="E42" s="199"/>
      <c r="F42" s="198" t="s">
        <v>388</v>
      </c>
      <c r="G42" s="199"/>
      <c r="H42" s="198" t="s">
        <v>155</v>
      </c>
      <c r="I42" s="199"/>
      <c r="K42" s="172"/>
      <c r="L42" s="215"/>
      <c r="M42" s="215"/>
      <c r="N42" s="172"/>
      <c r="O42" s="172"/>
      <c r="P42" s="172"/>
      <c r="Q42" s="172"/>
    </row>
    <row r="43" spans="1:17" s="5" customFormat="1" ht="22.6" customHeight="1">
      <c r="A43" s="179"/>
      <c r="B43" s="198" t="s">
        <v>56</v>
      </c>
      <c r="C43" s="199"/>
      <c r="D43" s="198" t="s">
        <v>177</v>
      </c>
      <c r="E43" s="199"/>
      <c r="F43" s="198" t="s">
        <v>165</v>
      </c>
      <c r="G43" s="199"/>
      <c r="H43" s="198" t="s">
        <v>166</v>
      </c>
      <c r="I43" s="199"/>
      <c r="K43" s="172"/>
      <c r="L43" s="172"/>
      <c r="M43" s="172"/>
      <c r="N43" s="172"/>
      <c r="O43" s="215"/>
      <c r="P43" s="215"/>
      <c r="Q43" s="172"/>
    </row>
    <row r="44" spans="1:17" s="5" customFormat="1" ht="22.6" customHeight="1">
      <c r="A44" s="179"/>
      <c r="B44" s="200" t="s">
        <v>23</v>
      </c>
      <c r="C44" s="201"/>
      <c r="D44" s="200" t="s">
        <v>24</v>
      </c>
      <c r="E44" s="201"/>
      <c r="F44" s="200" t="s">
        <v>20</v>
      </c>
      <c r="G44" s="201"/>
      <c r="H44" s="200" t="s">
        <v>22</v>
      </c>
      <c r="I44" s="201"/>
    </row>
    <row r="45" spans="1:17" s="5" customFormat="1" ht="22.6" customHeight="1" thickBot="1">
      <c r="A45" s="180"/>
      <c r="B45" s="198" t="s">
        <v>171</v>
      </c>
      <c r="C45" s="199"/>
      <c r="D45" s="198" t="s">
        <v>154</v>
      </c>
      <c r="E45" s="199"/>
      <c r="F45" s="198" t="s">
        <v>42</v>
      </c>
      <c r="G45" s="199"/>
      <c r="H45" s="198" t="s">
        <v>144</v>
      </c>
      <c r="I45" s="199"/>
    </row>
    <row r="46" spans="1:17" s="4" customFormat="1" thickBot="1">
      <c r="A46" s="10" t="s">
        <v>15</v>
      </c>
      <c r="B46" s="175">
        <f>'4月明細(晚餐)'!W198</f>
        <v>877.21642857142865</v>
      </c>
      <c r="C46" s="176"/>
      <c r="D46" s="175">
        <f>'4月明細(晚餐)'!W206</f>
        <v>864.26077922077923</v>
      </c>
      <c r="E46" s="176"/>
      <c r="F46" s="175">
        <f>'4月明細(晚餐)'!W214</f>
        <v>952.84952380952382</v>
      </c>
      <c r="G46" s="176"/>
      <c r="H46" s="175">
        <f>'4月明細(晚餐)'!W222</f>
        <v>873.52952380952377</v>
      </c>
      <c r="I46" s="176"/>
    </row>
    <row r="47" spans="1:17" s="4" customFormat="1" ht="36" thickBot="1">
      <c r="A47" s="230" t="s">
        <v>16</v>
      </c>
      <c r="B47" s="231"/>
      <c r="C47" s="231"/>
      <c r="D47" s="231"/>
      <c r="E47" s="231"/>
      <c r="F47" s="231"/>
      <c r="G47" s="231"/>
      <c r="H47" s="231"/>
      <c r="I47" s="231"/>
    </row>
  </sheetData>
  <mergeCells count="145">
    <mergeCell ref="A47:I47"/>
    <mergeCell ref="B44:C44"/>
    <mergeCell ref="D44:E44"/>
    <mergeCell ref="F44:G44"/>
    <mergeCell ref="H44:I44"/>
    <mergeCell ref="K38:L38"/>
    <mergeCell ref="L42:M42"/>
    <mergeCell ref="F45:G45"/>
    <mergeCell ref="H45:I45"/>
    <mergeCell ref="A38:A45"/>
    <mergeCell ref="B43:C43"/>
    <mergeCell ref="H42:I42"/>
    <mergeCell ref="B42:C42"/>
    <mergeCell ref="F42:G42"/>
    <mergeCell ref="B45:C45"/>
    <mergeCell ref="L40:M40"/>
    <mergeCell ref="H40:I41"/>
    <mergeCell ref="B46:C46"/>
    <mergeCell ref="D46:E46"/>
    <mergeCell ref="F46:G46"/>
    <mergeCell ref="H46:I46"/>
    <mergeCell ref="D34:E34"/>
    <mergeCell ref="H37:I37"/>
    <mergeCell ref="B39:C39"/>
    <mergeCell ref="D39:E39"/>
    <mergeCell ref="F39:G39"/>
    <mergeCell ref="H39:I39"/>
    <mergeCell ref="F40:G41"/>
    <mergeCell ref="D40:E41"/>
    <mergeCell ref="F34:G34"/>
    <mergeCell ref="D36:E36"/>
    <mergeCell ref="O43:P43"/>
    <mergeCell ref="B34:C34"/>
    <mergeCell ref="L24:M24"/>
    <mergeCell ref="H34:I34"/>
    <mergeCell ref="B35:C35"/>
    <mergeCell ref="M37:N37"/>
    <mergeCell ref="D42:E42"/>
    <mergeCell ref="F43:G43"/>
    <mergeCell ref="D43:E43"/>
    <mergeCell ref="D25:E25"/>
    <mergeCell ref="H43:I43"/>
    <mergeCell ref="J32:K32"/>
    <mergeCell ref="B36:C36"/>
    <mergeCell ref="F27:G27"/>
    <mergeCell ref="H36:I36"/>
    <mergeCell ref="B40:C41"/>
    <mergeCell ref="F37:G37"/>
    <mergeCell ref="K28:L28"/>
    <mergeCell ref="D35:E35"/>
    <mergeCell ref="F24:G24"/>
    <mergeCell ref="F35:G35"/>
    <mergeCell ref="H35:I35"/>
    <mergeCell ref="D45:E45"/>
    <mergeCell ref="F18:G18"/>
    <mergeCell ref="H18:I18"/>
    <mergeCell ref="M26:N26"/>
    <mergeCell ref="L35:M35"/>
    <mergeCell ref="B19:C19"/>
    <mergeCell ref="D19:E19"/>
    <mergeCell ref="F19:G19"/>
    <mergeCell ref="H19:I19"/>
    <mergeCell ref="B21:C21"/>
    <mergeCell ref="D21:E21"/>
    <mergeCell ref="F21:G21"/>
    <mergeCell ref="H21:I21"/>
    <mergeCell ref="B33:C33"/>
    <mergeCell ref="D33:E33"/>
    <mergeCell ref="F36:G36"/>
    <mergeCell ref="B22:C23"/>
    <mergeCell ref="D22:E23"/>
    <mergeCell ref="F22:G23"/>
    <mergeCell ref="P34:Q34"/>
    <mergeCell ref="F16:G16"/>
    <mergeCell ref="K22:L22"/>
    <mergeCell ref="B13:C14"/>
    <mergeCell ref="F13:G14"/>
    <mergeCell ref="H13:I14"/>
    <mergeCell ref="B17:C17"/>
    <mergeCell ref="D17:E17"/>
    <mergeCell ref="F17:G17"/>
    <mergeCell ref="H17:I17"/>
    <mergeCell ref="B18:C18"/>
    <mergeCell ref="D27:E27"/>
    <mergeCell ref="H27:I27"/>
    <mergeCell ref="B24:C24"/>
    <mergeCell ref="F31:G32"/>
    <mergeCell ref="B30:C30"/>
    <mergeCell ref="D24:E24"/>
    <mergeCell ref="O19:P19"/>
    <mergeCell ref="B25:C25"/>
    <mergeCell ref="F25:G25"/>
    <mergeCell ref="H25:I25"/>
    <mergeCell ref="D15:E15"/>
    <mergeCell ref="B27:C27"/>
    <mergeCell ref="H24:I24"/>
    <mergeCell ref="H33:I33"/>
    <mergeCell ref="N33:O33"/>
    <mergeCell ref="D18:E18"/>
    <mergeCell ref="L31:M31"/>
    <mergeCell ref="L15:M15"/>
    <mergeCell ref="B16:C16"/>
    <mergeCell ref="D30:E30"/>
    <mergeCell ref="F30:G30"/>
    <mergeCell ref="H30:I30"/>
    <mergeCell ref="B26:C26"/>
    <mergeCell ref="D26:E26"/>
    <mergeCell ref="F26:G26"/>
    <mergeCell ref="H26:I26"/>
    <mergeCell ref="B31:C32"/>
    <mergeCell ref="D31:E32"/>
    <mergeCell ref="H22:I23"/>
    <mergeCell ref="D12:E12"/>
    <mergeCell ref="F12:G12"/>
    <mergeCell ref="H12:I12"/>
    <mergeCell ref="B15:C15"/>
    <mergeCell ref="K19:L19"/>
    <mergeCell ref="F15:G15"/>
    <mergeCell ref="H16:I16"/>
    <mergeCell ref="H15:I15"/>
    <mergeCell ref="D16:E16"/>
    <mergeCell ref="B37:C37"/>
    <mergeCell ref="D37:E37"/>
    <mergeCell ref="A1:I1"/>
    <mergeCell ref="A2:A9"/>
    <mergeCell ref="B3:E10"/>
    <mergeCell ref="F3:G3"/>
    <mergeCell ref="H3:I10"/>
    <mergeCell ref="F4:G5"/>
    <mergeCell ref="F6:G6"/>
    <mergeCell ref="F7:G7"/>
    <mergeCell ref="F8:G8"/>
    <mergeCell ref="F10:G10"/>
    <mergeCell ref="F9:G9"/>
    <mergeCell ref="F33:G33"/>
    <mergeCell ref="A29:A36"/>
    <mergeCell ref="A20:A27"/>
    <mergeCell ref="B28:C28"/>
    <mergeCell ref="D28:E28"/>
    <mergeCell ref="F28:G28"/>
    <mergeCell ref="H28:I28"/>
    <mergeCell ref="D13:E14"/>
    <mergeCell ref="H31:I32"/>
    <mergeCell ref="A11:A18"/>
    <mergeCell ref="B12:C12"/>
  </mergeCells>
  <phoneticPr fontId="3" type="noConversion"/>
  <printOptions horizontalCentered="1" verticalCentered="1"/>
  <pageMargins left="0.19685039370078741" right="0.19685039370078741" top="7.874015748031496E-2" bottom="0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5"/>
  <sheetViews>
    <sheetView view="pageBreakPreview" topLeftCell="A205" zoomScale="90" zoomScaleNormal="70" zoomScaleSheetLayoutView="90" workbookViewId="0">
      <selection activeCell="AJ72" sqref="AJ72"/>
    </sheetView>
  </sheetViews>
  <sheetFormatPr defaultRowHeight="15.6"/>
  <cols>
    <col min="1" max="1" width="3.5" style="167" customWidth="1"/>
    <col min="2" max="2" width="7.69921875" customWidth="1"/>
    <col min="3" max="3" width="6.3984375" style="134" customWidth="1"/>
    <col min="4" max="4" width="10.19921875" customWidth="1"/>
    <col min="5" max="5" width="6.3984375" style="134" customWidth="1"/>
    <col min="6" max="6" width="7.3984375" customWidth="1"/>
    <col min="7" max="7" width="6.3984375" style="134" customWidth="1"/>
    <col min="8" max="8" width="6.8984375" customWidth="1"/>
    <col min="9" max="9" width="6.5" style="134" customWidth="1"/>
    <col min="10" max="10" width="7.5" customWidth="1"/>
    <col min="11" max="11" width="6.3984375" style="134" customWidth="1"/>
    <col min="12" max="12" width="6.59765625" customWidth="1"/>
    <col min="13" max="13" width="6.3984375" style="168" customWidth="1"/>
    <col min="14" max="14" width="7.3984375" hidden="1" customWidth="1"/>
    <col min="15" max="15" width="18" hidden="1" customWidth="1"/>
    <col min="16" max="16" width="5.59765625" hidden="1" customWidth="1"/>
    <col min="17" max="17" width="4.3984375" hidden="1" customWidth="1"/>
    <col min="18" max="18" width="7.5" hidden="1" customWidth="1"/>
    <col min="19" max="21" width="8.8984375" hidden="1" customWidth="1"/>
    <col min="22" max="22" width="0" hidden="1" customWidth="1"/>
    <col min="23" max="23" width="7.3984375" customWidth="1"/>
    <col min="24" max="24" width="17.5" customWidth="1"/>
    <col min="25" max="25" width="6.5" customWidth="1"/>
    <col min="26" max="26" width="5.59765625" customWidth="1"/>
    <col min="28" max="28" width="7.59765625" customWidth="1"/>
    <col min="31" max="32" width="6.3984375" customWidth="1"/>
    <col min="33" max="33" width="5.5" customWidth="1"/>
  </cols>
  <sheetData>
    <row r="1" spans="1:30" ht="22.6" thickBot="1">
      <c r="A1" s="266" t="s">
        <v>394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11"/>
    </row>
    <row r="2" spans="1:30" ht="32.799999999999997" thickBot="1">
      <c r="A2" s="12" t="s">
        <v>58</v>
      </c>
      <c r="B2" s="13" t="s">
        <v>59</v>
      </c>
      <c r="C2" s="14" t="s">
        <v>60</v>
      </c>
      <c r="D2" s="13" t="s">
        <v>61</v>
      </c>
      <c r="E2" s="14" t="s">
        <v>60</v>
      </c>
      <c r="F2" s="13" t="s">
        <v>61</v>
      </c>
      <c r="G2" s="14" t="s">
        <v>60</v>
      </c>
      <c r="H2" s="15" t="s">
        <v>62</v>
      </c>
      <c r="I2" s="14" t="s">
        <v>60</v>
      </c>
      <c r="J2" s="13" t="s">
        <v>63</v>
      </c>
      <c r="K2" s="14" t="s">
        <v>60</v>
      </c>
      <c r="L2" s="13" t="s">
        <v>64</v>
      </c>
      <c r="M2" s="14" t="s">
        <v>60</v>
      </c>
      <c r="N2" s="14" t="s">
        <v>65</v>
      </c>
      <c r="O2" s="262" t="s">
        <v>66</v>
      </c>
      <c r="P2" s="263"/>
      <c r="Q2" s="263"/>
      <c r="R2" s="263"/>
      <c r="S2" s="263"/>
      <c r="T2" s="263"/>
      <c r="U2" s="264"/>
      <c r="W2" s="14" t="s">
        <v>65</v>
      </c>
      <c r="X2" s="262" t="s">
        <v>66</v>
      </c>
      <c r="Y2" s="263"/>
      <c r="Z2" s="263"/>
      <c r="AA2" s="263"/>
      <c r="AB2" s="263"/>
      <c r="AC2" s="263"/>
      <c r="AD2" s="264"/>
    </row>
    <row r="3" spans="1:30" ht="16.149999999999999" customHeight="1" thickBot="1">
      <c r="A3" s="251">
        <v>43920</v>
      </c>
      <c r="B3" s="255"/>
      <c r="C3" s="256"/>
      <c r="D3" s="255"/>
      <c r="E3" s="256"/>
      <c r="F3" s="255"/>
      <c r="G3" s="256"/>
      <c r="H3" s="243"/>
      <c r="I3" s="254"/>
      <c r="J3" s="243"/>
      <c r="K3" s="252"/>
      <c r="L3" s="253"/>
      <c r="M3" s="244"/>
      <c r="N3" s="16" t="s">
        <v>67</v>
      </c>
      <c r="O3" s="17" t="s">
        <v>68</v>
      </c>
      <c r="P3" s="18">
        <v>0</v>
      </c>
      <c r="Q3" s="19" t="s">
        <v>69</v>
      </c>
      <c r="R3" s="20" t="s">
        <v>70</v>
      </c>
      <c r="S3" s="21">
        <f>P9</f>
        <v>0</v>
      </c>
      <c r="T3" s="19" t="s">
        <v>71</v>
      </c>
      <c r="U3" s="22" t="s">
        <v>72</v>
      </c>
      <c r="W3" s="16" t="s">
        <v>67</v>
      </c>
      <c r="X3" s="245" t="s">
        <v>73</v>
      </c>
      <c r="Y3" s="246"/>
      <c r="Z3" s="247"/>
      <c r="AA3" s="248" t="s">
        <v>74</v>
      </c>
      <c r="AB3" s="249"/>
      <c r="AC3" s="249"/>
      <c r="AD3" s="250"/>
    </row>
    <row r="4" spans="1:30" ht="16.149999999999999" customHeight="1">
      <c r="A4" s="241"/>
      <c r="B4" s="23"/>
      <c r="C4" s="24"/>
      <c r="D4" s="25"/>
      <c r="E4" s="26"/>
      <c r="F4" s="27"/>
      <c r="G4" s="28"/>
      <c r="H4" s="29"/>
      <c r="I4" s="30"/>
      <c r="J4" s="25"/>
      <c r="K4" s="31"/>
      <c r="L4" s="32"/>
      <c r="M4" s="26"/>
      <c r="N4" s="33">
        <f>S4</f>
        <v>0</v>
      </c>
      <c r="O4" s="34" t="s">
        <v>75</v>
      </c>
      <c r="P4" s="35">
        <v>0</v>
      </c>
      <c r="Q4" s="36" t="s">
        <v>69</v>
      </c>
      <c r="R4" s="37" t="s">
        <v>76</v>
      </c>
      <c r="S4" s="38">
        <f>P3*15+P5*5+P6*15+P7*12</f>
        <v>0</v>
      </c>
      <c r="T4" s="36" t="s">
        <v>77</v>
      </c>
      <c r="U4" s="39" t="e">
        <f>S4*4/S3</f>
        <v>#DIV/0!</v>
      </c>
      <c r="W4" s="33">
        <f>AB5</f>
        <v>0</v>
      </c>
      <c r="X4" s="40" t="s">
        <v>68</v>
      </c>
      <c r="Y4" s="18">
        <f>M4/20+M5/20+G6/85+G7/35+E5/70</f>
        <v>0</v>
      </c>
      <c r="Z4" s="19" t="s">
        <v>69</v>
      </c>
      <c r="AA4" s="20" t="s">
        <v>70</v>
      </c>
      <c r="AB4" s="21">
        <f>Y10</f>
        <v>108</v>
      </c>
      <c r="AC4" s="19" t="s">
        <v>71</v>
      </c>
      <c r="AD4" s="22" t="s">
        <v>72</v>
      </c>
    </row>
    <row r="5" spans="1:30" ht="16.149999999999999" customHeight="1">
      <c r="A5" s="241"/>
      <c r="B5" s="44"/>
      <c r="C5" s="24"/>
      <c r="D5" s="45"/>
      <c r="E5" s="46"/>
      <c r="F5" s="27"/>
      <c r="G5" s="47"/>
      <c r="H5" s="45"/>
      <c r="I5" s="48"/>
      <c r="J5" s="27"/>
      <c r="K5" s="48"/>
      <c r="L5" s="32"/>
      <c r="M5" s="47"/>
      <c r="N5" s="49" t="s">
        <v>78</v>
      </c>
      <c r="O5" s="50" t="s">
        <v>79</v>
      </c>
      <c r="P5" s="35">
        <v>0</v>
      </c>
      <c r="Q5" s="36" t="s">
        <v>69</v>
      </c>
      <c r="R5" s="37" t="s">
        <v>80</v>
      </c>
      <c r="S5" s="38">
        <f>P4*5+P7*4+P8*5</f>
        <v>0</v>
      </c>
      <c r="T5" s="36" t="s">
        <v>77</v>
      </c>
      <c r="U5" s="39" t="e">
        <f>S5*9/S3</f>
        <v>#DIV/0!</v>
      </c>
      <c r="W5" s="49" t="s">
        <v>78</v>
      </c>
      <c r="X5" s="34" t="s">
        <v>75</v>
      </c>
      <c r="Y5" s="35">
        <f>C4/55+E4/55+C5/35</f>
        <v>0</v>
      </c>
      <c r="Z5" s="36" t="s">
        <v>69</v>
      </c>
      <c r="AA5" s="37" t="s">
        <v>76</v>
      </c>
      <c r="AB5" s="38">
        <f>Y4*15+Y6*5+Y7*15+Y8*12</f>
        <v>0</v>
      </c>
      <c r="AC5" s="36" t="s">
        <v>77</v>
      </c>
      <c r="AD5" s="39">
        <f>AB5*4/AB4</f>
        <v>0</v>
      </c>
    </row>
    <row r="6" spans="1:30" ht="16.149999999999999" customHeight="1">
      <c r="A6" s="241"/>
      <c r="B6" s="54"/>
      <c r="C6" s="46"/>
      <c r="D6" s="45"/>
      <c r="E6" s="46"/>
      <c r="F6" s="27"/>
      <c r="G6" s="47"/>
      <c r="H6" s="55"/>
      <c r="I6" s="46"/>
      <c r="J6" s="56"/>
      <c r="K6" s="57"/>
      <c r="L6" s="32"/>
      <c r="M6" s="47"/>
      <c r="N6" s="33">
        <f>S5</f>
        <v>0</v>
      </c>
      <c r="O6" s="58" t="s">
        <v>81</v>
      </c>
      <c r="P6" s="59">
        <v>0</v>
      </c>
      <c r="Q6" s="36" t="s">
        <v>69</v>
      </c>
      <c r="R6" s="37" t="s">
        <v>82</v>
      </c>
      <c r="S6" s="38">
        <f>P3*2+P4*7+P5*1+P7*8</f>
        <v>0</v>
      </c>
      <c r="T6" s="36" t="s">
        <v>77</v>
      </c>
      <c r="U6" s="39" t="e">
        <f>S6*4/S3</f>
        <v>#DIV/0!</v>
      </c>
      <c r="W6" s="33">
        <f>AB6</f>
        <v>12</v>
      </c>
      <c r="X6" s="50" t="s">
        <v>79</v>
      </c>
      <c r="Y6" s="35">
        <f>(G5+G4+K4+K5+K8+I4+K7+K6+C6)/100</f>
        <v>0</v>
      </c>
      <c r="Z6" s="36" t="s">
        <v>69</v>
      </c>
      <c r="AA6" s="37" t="s">
        <v>80</v>
      </c>
      <c r="AB6" s="38">
        <f>Y5*5+Y8*4+Y9*5</f>
        <v>12</v>
      </c>
      <c r="AC6" s="36" t="s">
        <v>77</v>
      </c>
      <c r="AD6" s="39">
        <f>AB6*9/AB4</f>
        <v>1</v>
      </c>
    </row>
    <row r="7" spans="1:30" ht="16.149999999999999" customHeight="1">
      <c r="A7" s="241"/>
      <c r="B7" s="44"/>
      <c r="C7" s="24"/>
      <c r="D7" s="44"/>
      <c r="E7" s="24"/>
      <c r="F7" s="61"/>
      <c r="G7" s="47"/>
      <c r="H7" s="55"/>
      <c r="I7" s="46"/>
      <c r="J7" s="56"/>
      <c r="K7" s="57"/>
      <c r="L7" s="62"/>
      <c r="M7" s="63"/>
      <c r="N7" s="49" t="s">
        <v>83</v>
      </c>
      <c r="O7" s="64" t="s">
        <v>84</v>
      </c>
      <c r="P7" s="59">
        <v>0</v>
      </c>
      <c r="Q7" s="36" t="s">
        <v>69</v>
      </c>
      <c r="R7" s="65"/>
      <c r="S7" s="65"/>
      <c r="T7" s="65"/>
      <c r="U7" s="66" t="e">
        <f>SUM(U4:U6)</f>
        <v>#DIV/0!</v>
      </c>
      <c r="W7" s="49" t="s">
        <v>83</v>
      </c>
      <c r="X7" s="64" t="s">
        <v>81</v>
      </c>
      <c r="Y7" s="59">
        <v>0</v>
      </c>
      <c r="Z7" s="36" t="s">
        <v>69</v>
      </c>
      <c r="AA7" s="37" t="s">
        <v>82</v>
      </c>
      <c r="AB7" s="38">
        <f>Y4*2+Y5*7+Y6*1+Y8*8</f>
        <v>0</v>
      </c>
      <c r="AC7" s="36" t="s">
        <v>77</v>
      </c>
      <c r="AD7" s="39">
        <f>AB7*4/AB4</f>
        <v>0</v>
      </c>
    </row>
    <row r="8" spans="1:30" ht="16.149999999999999" customHeight="1">
      <c r="A8" s="241" t="s">
        <v>85</v>
      </c>
      <c r="B8" s="55"/>
      <c r="C8" s="24"/>
      <c r="D8" s="44"/>
      <c r="E8" s="24"/>
      <c r="F8" s="67"/>
      <c r="G8" s="68"/>
      <c r="H8" s="55"/>
      <c r="I8" s="46"/>
      <c r="J8" s="69"/>
      <c r="K8" s="47"/>
      <c r="L8" s="55"/>
      <c r="M8" s="47"/>
      <c r="N8" s="33">
        <f>S6</f>
        <v>0</v>
      </c>
      <c r="O8" s="70" t="s">
        <v>86</v>
      </c>
      <c r="P8" s="59">
        <v>0</v>
      </c>
      <c r="Q8" s="36" t="s">
        <v>69</v>
      </c>
      <c r="R8" s="71"/>
      <c r="S8" s="71"/>
      <c r="T8" s="71"/>
      <c r="U8" s="72"/>
      <c r="W8" s="33">
        <f>AB7</f>
        <v>0</v>
      </c>
      <c r="X8" s="64" t="s">
        <v>84</v>
      </c>
      <c r="Y8" s="59">
        <v>0</v>
      </c>
      <c r="Z8" s="36" t="s">
        <v>69</v>
      </c>
      <c r="AA8" s="65"/>
      <c r="AB8" s="65"/>
      <c r="AC8" s="65"/>
      <c r="AD8" s="66">
        <f>SUM(AD5:AD7)</f>
        <v>1</v>
      </c>
    </row>
    <row r="9" spans="1:30" ht="16.149999999999999" customHeight="1" thickBot="1">
      <c r="A9" s="241"/>
      <c r="B9" s="62"/>
      <c r="C9" s="63"/>
      <c r="D9" s="44"/>
      <c r="E9" s="24"/>
      <c r="F9" s="32"/>
      <c r="G9" s="47"/>
      <c r="H9" s="55"/>
      <c r="I9" s="46"/>
      <c r="J9" s="73"/>
      <c r="K9" s="74"/>
      <c r="L9" s="32"/>
      <c r="M9" s="47"/>
      <c r="N9" s="49" t="s">
        <v>87</v>
      </c>
      <c r="O9" s="75" t="s">
        <v>88</v>
      </c>
      <c r="P9" s="76">
        <f>P3*68+P4*73+P5*24+P6*60+P7*112+P8*45</f>
        <v>0</v>
      </c>
      <c r="Q9" s="77" t="s">
        <v>71</v>
      </c>
      <c r="R9" s="78"/>
      <c r="S9" s="78"/>
      <c r="T9" s="78"/>
      <c r="U9" s="79"/>
      <c r="W9" s="49" t="s">
        <v>87</v>
      </c>
      <c r="X9" s="70" t="s">
        <v>86</v>
      </c>
      <c r="Y9" s="59">
        <v>2.4</v>
      </c>
      <c r="Z9" s="36" t="s">
        <v>69</v>
      </c>
      <c r="AA9" s="71"/>
      <c r="AB9" s="71"/>
      <c r="AC9" s="71"/>
      <c r="AD9" s="72"/>
    </row>
    <row r="10" spans="1:30" ht="16.149999999999999" customHeight="1" thickBot="1">
      <c r="A10" s="242"/>
      <c r="B10" s="257"/>
      <c r="C10" s="235"/>
      <c r="D10" s="257"/>
      <c r="E10" s="235"/>
      <c r="F10" s="234"/>
      <c r="G10" s="235"/>
      <c r="H10" s="234"/>
      <c r="I10" s="235"/>
      <c r="J10" s="234"/>
      <c r="K10" s="235"/>
      <c r="L10" s="234"/>
      <c r="M10" s="235"/>
      <c r="N10" s="80">
        <f>P9</f>
        <v>0</v>
      </c>
      <c r="O10" s="81"/>
      <c r="P10" s="82"/>
      <c r="Q10" s="82"/>
      <c r="R10" s="82"/>
      <c r="S10" s="82"/>
      <c r="T10" s="82"/>
      <c r="U10" s="83"/>
      <c r="W10" s="80">
        <f>Y10</f>
        <v>108</v>
      </c>
      <c r="X10" s="75" t="s">
        <v>88</v>
      </c>
      <c r="Y10" s="76">
        <f>Y4*68+Y5*73+Y6*24+Y7*60+Y8*112+Y9*45</f>
        <v>108</v>
      </c>
      <c r="Z10" s="77" t="s">
        <v>71</v>
      </c>
      <c r="AA10" s="78"/>
      <c r="AB10" s="78"/>
      <c r="AC10" s="78"/>
      <c r="AD10" s="79"/>
    </row>
    <row r="11" spans="1:30" ht="16.149999999999999" customHeight="1" thickBot="1">
      <c r="A11" s="251">
        <f>A3+1</f>
        <v>43921</v>
      </c>
      <c r="B11" s="243"/>
      <c r="C11" s="252"/>
      <c r="D11" s="243"/>
      <c r="E11" s="244"/>
      <c r="F11" s="255"/>
      <c r="G11" s="256"/>
      <c r="H11" s="255"/>
      <c r="I11" s="256"/>
      <c r="J11" s="243"/>
      <c r="K11" s="244"/>
      <c r="L11" s="253"/>
      <c r="M11" s="244"/>
      <c r="N11" s="16" t="s">
        <v>67</v>
      </c>
      <c r="O11" s="245" t="s">
        <v>73</v>
      </c>
      <c r="P11" s="246"/>
      <c r="Q11" s="247"/>
      <c r="R11" s="248" t="s">
        <v>74</v>
      </c>
      <c r="S11" s="249"/>
      <c r="T11" s="249"/>
      <c r="U11" s="250"/>
      <c r="W11" s="16" t="s">
        <v>67</v>
      </c>
      <c r="X11" s="245" t="s">
        <v>73</v>
      </c>
      <c r="Y11" s="246"/>
      <c r="Z11" s="247"/>
      <c r="AA11" s="248" t="s">
        <v>74</v>
      </c>
      <c r="AB11" s="249"/>
      <c r="AC11" s="249"/>
      <c r="AD11" s="250"/>
    </row>
    <row r="12" spans="1:30" ht="16.149999999999999" customHeight="1">
      <c r="A12" s="241"/>
      <c r="B12" s="45"/>
      <c r="C12" s="47"/>
      <c r="D12" s="41"/>
      <c r="E12" s="28"/>
      <c r="F12" s="29"/>
      <c r="G12" s="84"/>
      <c r="H12" s="85"/>
      <c r="I12" s="30"/>
      <c r="J12" s="25"/>
      <c r="K12" s="26"/>
      <c r="L12" s="32"/>
      <c r="M12" s="26"/>
      <c r="N12" s="33">
        <f>S13</f>
        <v>0</v>
      </c>
      <c r="O12" s="17" t="s">
        <v>68</v>
      </c>
      <c r="P12" s="59">
        <f>M12/20+M13/55</f>
        <v>0</v>
      </c>
      <c r="Q12" s="19" t="s">
        <v>69</v>
      </c>
      <c r="R12" s="86" t="s">
        <v>70</v>
      </c>
      <c r="S12" s="87">
        <f>P18</f>
        <v>112.5</v>
      </c>
      <c r="T12" s="88" t="s">
        <v>71</v>
      </c>
      <c r="U12" s="89" t="s">
        <v>72</v>
      </c>
      <c r="W12" s="33">
        <f>AB13</f>
        <v>0</v>
      </c>
      <c r="X12" s="17" t="s">
        <v>68</v>
      </c>
      <c r="Y12" s="18">
        <f>M12/20+M13/20+G13/85</f>
        <v>0</v>
      </c>
      <c r="Z12" s="19" t="s">
        <v>69</v>
      </c>
      <c r="AA12" s="86" t="s">
        <v>70</v>
      </c>
      <c r="AB12" s="87">
        <f>Y18</f>
        <v>108</v>
      </c>
      <c r="AC12" s="88" t="s">
        <v>71</v>
      </c>
      <c r="AD12" s="89" t="s">
        <v>72</v>
      </c>
    </row>
    <row r="13" spans="1:30" ht="16.149999999999999" customHeight="1">
      <c r="A13" s="241"/>
      <c r="B13" s="52"/>
      <c r="C13" s="53"/>
      <c r="D13" s="56"/>
      <c r="E13" s="47"/>
      <c r="F13" s="45"/>
      <c r="G13" s="48"/>
      <c r="H13" s="45"/>
      <c r="I13" s="48"/>
      <c r="J13" s="45"/>
      <c r="K13" s="46"/>
      <c r="L13" s="32"/>
      <c r="M13" s="47"/>
      <c r="N13" s="49" t="s">
        <v>78</v>
      </c>
      <c r="O13" s="34" t="s">
        <v>75</v>
      </c>
      <c r="P13" s="35">
        <f>C12/35+E12/80+E13/225+E16/35+G13/55+K13*0.52/40</f>
        <v>0</v>
      </c>
      <c r="Q13" s="36" t="s">
        <v>69</v>
      </c>
      <c r="R13" s="37" t="s">
        <v>76</v>
      </c>
      <c r="S13" s="38">
        <f>P12*15+P14*5+P15*15+P16*12</f>
        <v>0</v>
      </c>
      <c r="T13" s="36" t="s">
        <v>77</v>
      </c>
      <c r="U13" s="39">
        <f>S13*4/S12</f>
        <v>0</v>
      </c>
      <c r="W13" s="49" t="s">
        <v>78</v>
      </c>
      <c r="X13" s="34" t="s">
        <v>75</v>
      </c>
      <c r="Y13" s="35">
        <f>C12/35+K13*0.6/40+E14/40+G12/35+G14/50</f>
        <v>0</v>
      </c>
      <c r="Z13" s="36" t="s">
        <v>69</v>
      </c>
      <c r="AA13" s="37" t="s">
        <v>76</v>
      </c>
      <c r="AB13" s="38">
        <f>Y12*15+Y14*5+Y15*15+Y16*12</f>
        <v>0</v>
      </c>
      <c r="AC13" s="36" t="s">
        <v>77</v>
      </c>
      <c r="AD13" s="39">
        <f>AB13*4/AB12</f>
        <v>0</v>
      </c>
    </row>
    <row r="14" spans="1:30" ht="16.149999999999999" customHeight="1">
      <c r="A14" s="241"/>
      <c r="B14" s="56"/>
      <c r="C14" s="51"/>
      <c r="D14" s="45"/>
      <c r="E14" s="47"/>
      <c r="F14" s="90"/>
      <c r="G14" s="84"/>
      <c r="H14" s="55"/>
      <c r="I14" s="46"/>
      <c r="J14" s="91"/>
      <c r="K14" s="92"/>
      <c r="L14" s="32"/>
      <c r="M14" s="47"/>
      <c r="N14" s="33">
        <f>S14</f>
        <v>12.5</v>
      </c>
      <c r="O14" s="50" t="s">
        <v>79</v>
      </c>
      <c r="P14" s="35">
        <f>(E13+E14+G12+I12+I13+K12)/100</f>
        <v>0</v>
      </c>
      <c r="Q14" s="36" t="s">
        <v>69</v>
      </c>
      <c r="R14" s="37" t="s">
        <v>80</v>
      </c>
      <c r="S14" s="38">
        <f>P13*5+P16*4+P17*5</f>
        <v>12.5</v>
      </c>
      <c r="T14" s="36" t="s">
        <v>77</v>
      </c>
      <c r="U14" s="39">
        <f>S14*9/S12</f>
        <v>1</v>
      </c>
      <c r="W14" s="33">
        <f>AB14</f>
        <v>12</v>
      </c>
      <c r="X14" s="50" t="s">
        <v>79</v>
      </c>
      <c r="Y14" s="35">
        <f>(I12+K12+E12+E13+E15+E16+G15+G16)/100</f>
        <v>0</v>
      </c>
      <c r="Z14" s="36" t="s">
        <v>69</v>
      </c>
      <c r="AA14" s="37" t="s">
        <v>80</v>
      </c>
      <c r="AB14" s="38">
        <f>Y13*5+Y16*4+Y17*5</f>
        <v>12</v>
      </c>
      <c r="AC14" s="36" t="s">
        <v>77</v>
      </c>
      <c r="AD14" s="39">
        <f>AB14*9/AB12</f>
        <v>1</v>
      </c>
    </row>
    <row r="15" spans="1:30" ht="16.149999999999999" customHeight="1">
      <c r="A15" s="241"/>
      <c r="B15" s="56"/>
      <c r="C15" s="51"/>
      <c r="D15" s="93"/>
      <c r="E15" s="94"/>
      <c r="F15" s="55"/>
      <c r="G15" s="46"/>
      <c r="H15" s="55"/>
      <c r="I15" s="46"/>
      <c r="J15" s="55"/>
      <c r="K15" s="46"/>
      <c r="L15" s="32"/>
      <c r="M15" s="47"/>
      <c r="N15" s="49" t="s">
        <v>83</v>
      </c>
      <c r="O15" s="58" t="s">
        <v>81</v>
      </c>
      <c r="P15" s="59">
        <v>0</v>
      </c>
      <c r="Q15" s="36" t="s">
        <v>69</v>
      </c>
      <c r="R15" s="37" t="s">
        <v>82</v>
      </c>
      <c r="S15" s="38">
        <f>P12*2+P13*7+P14*1+P16*8</f>
        <v>0</v>
      </c>
      <c r="T15" s="36" t="s">
        <v>77</v>
      </c>
      <c r="U15" s="39">
        <f>S15*4/S12</f>
        <v>0</v>
      </c>
      <c r="W15" s="49" t="s">
        <v>83</v>
      </c>
      <c r="X15" s="64" t="s">
        <v>81</v>
      </c>
      <c r="Y15" s="59">
        <v>0</v>
      </c>
      <c r="Z15" s="36" t="s">
        <v>69</v>
      </c>
      <c r="AA15" s="37" t="s">
        <v>82</v>
      </c>
      <c r="AB15" s="38">
        <f>Y12*2+Y13*7+Y14*1+Y16*8</f>
        <v>0</v>
      </c>
      <c r="AC15" s="36" t="s">
        <v>77</v>
      </c>
      <c r="AD15" s="39">
        <f>AB15*4/AB12</f>
        <v>0</v>
      </c>
    </row>
    <row r="16" spans="1:30" ht="16.149999999999999" customHeight="1">
      <c r="A16" s="241" t="s">
        <v>89</v>
      </c>
      <c r="B16" s="44"/>
      <c r="C16" s="24"/>
      <c r="D16" s="97"/>
      <c r="E16" s="98"/>
      <c r="F16" s="95"/>
      <c r="G16" s="99"/>
      <c r="H16" s="55"/>
      <c r="I16" s="46"/>
      <c r="J16" s="45"/>
      <c r="K16" s="46"/>
      <c r="L16" s="32"/>
      <c r="M16" s="47"/>
      <c r="N16" s="33">
        <f>S15</f>
        <v>0</v>
      </c>
      <c r="O16" s="64" t="s">
        <v>84</v>
      </c>
      <c r="P16" s="59">
        <v>0</v>
      </c>
      <c r="Q16" s="36" t="s">
        <v>69</v>
      </c>
      <c r="R16" s="65"/>
      <c r="S16" s="65"/>
      <c r="T16" s="65"/>
      <c r="U16" s="66">
        <f>SUM(U13:U15)</f>
        <v>1</v>
      </c>
      <c r="W16" s="33">
        <f>AB15</f>
        <v>0</v>
      </c>
      <c r="X16" s="64" t="s">
        <v>84</v>
      </c>
      <c r="Y16" s="59">
        <v>0</v>
      </c>
      <c r="Z16" s="36" t="s">
        <v>69</v>
      </c>
      <c r="AA16" s="65"/>
      <c r="AB16" s="65"/>
      <c r="AC16" s="65"/>
      <c r="AD16" s="66">
        <f>SUM(AD13:AD15)</f>
        <v>1</v>
      </c>
    </row>
    <row r="17" spans="1:30" ht="16.149999999999999" customHeight="1">
      <c r="A17" s="241"/>
      <c r="B17" s="44"/>
      <c r="C17" s="24"/>
      <c r="D17" s="62"/>
      <c r="E17" s="100"/>
      <c r="F17" s="45"/>
      <c r="G17" s="46"/>
      <c r="H17" s="55"/>
      <c r="I17" s="46"/>
      <c r="J17" s="55"/>
      <c r="K17" s="46"/>
      <c r="L17" s="32"/>
      <c r="M17" s="47"/>
      <c r="N17" s="49" t="s">
        <v>87</v>
      </c>
      <c r="O17" s="70" t="s">
        <v>86</v>
      </c>
      <c r="P17" s="59">
        <v>2.5</v>
      </c>
      <c r="Q17" s="36" t="s">
        <v>69</v>
      </c>
      <c r="R17" s="71"/>
      <c r="S17" s="71"/>
      <c r="T17" s="71"/>
      <c r="U17" s="72"/>
      <c r="W17" s="49" t="s">
        <v>87</v>
      </c>
      <c r="X17" s="70" t="s">
        <v>86</v>
      </c>
      <c r="Y17" s="59">
        <v>2.4</v>
      </c>
      <c r="Z17" s="36" t="s">
        <v>69</v>
      </c>
      <c r="AA17" s="71"/>
      <c r="AB17" s="71"/>
      <c r="AC17" s="71"/>
      <c r="AD17" s="72"/>
    </row>
    <row r="18" spans="1:30" ht="16.149999999999999" customHeight="1" thickBot="1">
      <c r="A18" s="242"/>
      <c r="B18" s="234"/>
      <c r="C18" s="235"/>
      <c r="D18" s="234"/>
      <c r="E18" s="235"/>
      <c r="F18" s="234"/>
      <c r="G18" s="235"/>
      <c r="H18" s="234"/>
      <c r="I18" s="235"/>
      <c r="J18" s="234"/>
      <c r="K18" s="235"/>
      <c r="L18" s="234"/>
      <c r="M18" s="235"/>
      <c r="N18" s="80">
        <f>P18</f>
        <v>112.5</v>
      </c>
      <c r="O18" s="75" t="s">
        <v>88</v>
      </c>
      <c r="P18" s="76">
        <f>P12*68+P13*73+P14*24+P15*60+P16*112+P17*45</f>
        <v>112.5</v>
      </c>
      <c r="Q18" s="77" t="s">
        <v>71</v>
      </c>
      <c r="R18" s="78"/>
      <c r="S18" s="78"/>
      <c r="T18" s="78"/>
      <c r="U18" s="79"/>
      <c r="W18" s="80">
        <f>Y18</f>
        <v>108</v>
      </c>
      <c r="X18" s="75" t="s">
        <v>88</v>
      </c>
      <c r="Y18" s="76">
        <f>Y12*68+Y13*73+Y14*24+Y15*60+Y16*112+Y17*45</f>
        <v>108</v>
      </c>
      <c r="Z18" s="77" t="s">
        <v>71</v>
      </c>
      <c r="AA18" s="78"/>
      <c r="AB18" s="78"/>
      <c r="AC18" s="78"/>
      <c r="AD18" s="79"/>
    </row>
    <row r="19" spans="1:30" ht="16.149999999999999" customHeight="1" thickBot="1">
      <c r="A19" s="251">
        <f>A11+1</f>
        <v>43922</v>
      </c>
      <c r="B19" s="255" t="s">
        <v>120</v>
      </c>
      <c r="C19" s="256"/>
      <c r="D19" s="253" t="s">
        <v>123</v>
      </c>
      <c r="E19" s="244"/>
      <c r="F19" s="253" t="s">
        <v>124</v>
      </c>
      <c r="G19" s="244"/>
      <c r="H19" s="243" t="s">
        <v>125</v>
      </c>
      <c r="I19" s="254"/>
      <c r="J19" s="272" t="s">
        <v>133</v>
      </c>
      <c r="K19" s="273"/>
      <c r="L19" s="259" t="s">
        <v>122</v>
      </c>
      <c r="M19" s="260"/>
      <c r="N19" s="16" t="s">
        <v>67</v>
      </c>
      <c r="O19" s="245" t="s">
        <v>73</v>
      </c>
      <c r="P19" s="246"/>
      <c r="Q19" s="247"/>
      <c r="R19" s="248" t="s">
        <v>74</v>
      </c>
      <c r="S19" s="249"/>
      <c r="T19" s="249"/>
      <c r="U19" s="250"/>
      <c r="W19" s="16" t="s">
        <v>67</v>
      </c>
      <c r="X19" s="245" t="s">
        <v>73</v>
      </c>
      <c r="Y19" s="246"/>
      <c r="Z19" s="247"/>
      <c r="AA19" s="248" t="s">
        <v>74</v>
      </c>
      <c r="AB19" s="249"/>
      <c r="AC19" s="249"/>
      <c r="AD19" s="250"/>
    </row>
    <row r="20" spans="1:30" ht="16.149999999999999" customHeight="1">
      <c r="A20" s="241"/>
      <c r="B20" s="56" t="s">
        <v>119</v>
      </c>
      <c r="C20" s="51">
        <v>75</v>
      </c>
      <c r="D20" s="101" t="s">
        <v>126</v>
      </c>
      <c r="E20" s="28">
        <v>40</v>
      </c>
      <c r="F20" s="101" t="s">
        <v>129</v>
      </c>
      <c r="G20" s="28">
        <v>30</v>
      </c>
      <c r="H20" s="29" t="s">
        <v>132</v>
      </c>
      <c r="I20" s="102">
        <v>150</v>
      </c>
      <c r="J20" s="103" t="s">
        <v>134</v>
      </c>
      <c r="K20" s="43">
        <v>3</v>
      </c>
      <c r="L20" s="136" t="s">
        <v>137</v>
      </c>
      <c r="M20" s="104">
        <v>110</v>
      </c>
      <c r="N20" s="33">
        <f>S21</f>
        <v>95.55</v>
      </c>
      <c r="O20" s="17" t="s">
        <v>68</v>
      </c>
      <c r="P20" s="18">
        <f>M20/20+E23/2/30</f>
        <v>5.5</v>
      </c>
      <c r="Q20" s="19" t="s">
        <v>69</v>
      </c>
      <c r="R20" s="86" t="s">
        <v>70</v>
      </c>
      <c r="S20" s="87">
        <f>P26</f>
        <v>724.34</v>
      </c>
      <c r="T20" s="88" t="s">
        <v>71</v>
      </c>
      <c r="U20" s="105"/>
      <c r="W20" s="33">
        <f>AB21</f>
        <v>122.2</v>
      </c>
      <c r="X20" s="17" t="s">
        <v>68</v>
      </c>
      <c r="Y20" s="18">
        <f>M20/20+M21/20+G21/90</f>
        <v>7.583333333333333</v>
      </c>
      <c r="Z20" s="19" t="s">
        <v>69</v>
      </c>
      <c r="AA20" s="86" t="s">
        <v>70</v>
      </c>
      <c r="AB20" s="87">
        <f>Y26</f>
        <v>875.04971861471859</v>
      </c>
      <c r="AC20" s="88" t="s">
        <v>71</v>
      </c>
      <c r="AD20" s="105"/>
    </row>
    <row r="21" spans="1:30" ht="16.149999999999999" customHeight="1">
      <c r="A21" s="241"/>
      <c r="B21" s="106" t="s">
        <v>92</v>
      </c>
      <c r="C21" s="107">
        <v>0.4</v>
      </c>
      <c r="D21" s="32" t="s">
        <v>127</v>
      </c>
      <c r="E21" s="47">
        <v>10</v>
      </c>
      <c r="F21" s="32" t="s">
        <v>130</v>
      </c>
      <c r="G21" s="47">
        <v>30</v>
      </c>
      <c r="H21" s="55"/>
      <c r="I21" s="108"/>
      <c r="J21" s="85" t="s">
        <v>135</v>
      </c>
      <c r="K21" s="84">
        <v>10</v>
      </c>
      <c r="L21" s="69" t="s">
        <v>138</v>
      </c>
      <c r="M21" s="110">
        <v>35</v>
      </c>
      <c r="N21" s="49" t="s">
        <v>78</v>
      </c>
      <c r="O21" s="34" t="s">
        <v>75</v>
      </c>
      <c r="P21" s="35">
        <f>C20*0.92/35+E22/35+E23/2/35+G22/35+K21/35</f>
        <v>2.4</v>
      </c>
      <c r="Q21" s="36" t="s">
        <v>69</v>
      </c>
      <c r="R21" s="37" t="s">
        <v>76</v>
      </c>
      <c r="S21" s="38">
        <f>P20*15+P22*5+P23*15+P24*12</f>
        <v>95.55</v>
      </c>
      <c r="T21" s="36" t="s">
        <v>77</v>
      </c>
      <c r="U21" s="39">
        <f>S21*4/S20</f>
        <v>0.52765275975370673</v>
      </c>
      <c r="W21" s="49" t="s">
        <v>78</v>
      </c>
      <c r="X21" s="34" t="s">
        <v>75</v>
      </c>
      <c r="Y21" s="35">
        <f>C20*0.6/35+E20/55+G20/40+K21/80</f>
        <v>2.8879870129870131</v>
      </c>
      <c r="Z21" s="36" t="s">
        <v>69</v>
      </c>
      <c r="AA21" s="37" t="s">
        <v>76</v>
      </c>
      <c r="AB21" s="38">
        <f>Y20*15+Y22*5+Y23*15+Y24*12</f>
        <v>122.2</v>
      </c>
      <c r="AC21" s="36" t="s">
        <v>77</v>
      </c>
      <c r="AD21" s="39">
        <f>AB21*4/AB20</f>
        <v>0.55859683124498782</v>
      </c>
    </row>
    <row r="22" spans="1:30" ht="16.149999999999999" customHeight="1">
      <c r="A22" s="241"/>
      <c r="B22" s="62"/>
      <c r="C22" s="63"/>
      <c r="D22" s="55" t="s">
        <v>128</v>
      </c>
      <c r="E22" s="47">
        <v>5</v>
      </c>
      <c r="F22" s="55"/>
      <c r="G22" s="47"/>
      <c r="H22" s="55"/>
      <c r="I22" s="111"/>
      <c r="J22" s="112" t="s">
        <v>136</v>
      </c>
      <c r="K22" s="57">
        <v>1</v>
      </c>
      <c r="L22" s="109"/>
      <c r="M22" s="110"/>
      <c r="N22" s="33">
        <f>S22</f>
        <v>24.5</v>
      </c>
      <c r="O22" s="50" t="s">
        <v>79</v>
      </c>
      <c r="P22" s="35">
        <f>(K22+I20+G20+G21+G23+G24+E20+E21+E24+E25)/100</f>
        <v>2.61</v>
      </c>
      <c r="Q22" s="36" t="s">
        <v>69</v>
      </c>
      <c r="R22" s="37" t="s">
        <v>80</v>
      </c>
      <c r="S22" s="38">
        <f>P21*5+P24*4+P25*5</f>
        <v>24.5</v>
      </c>
      <c r="T22" s="36" t="s">
        <v>77</v>
      </c>
      <c r="U22" s="39">
        <f>S22*9/S20</f>
        <v>0.30441505370406163</v>
      </c>
      <c r="W22" s="33">
        <f>AB22</f>
        <v>26.439935064935064</v>
      </c>
      <c r="X22" s="113" t="s">
        <v>79</v>
      </c>
      <c r="Y22" s="35">
        <f>(E21+E22+I20+K20+K22)/100</f>
        <v>1.69</v>
      </c>
      <c r="Z22" s="36" t="s">
        <v>69</v>
      </c>
      <c r="AA22" s="37" t="s">
        <v>80</v>
      </c>
      <c r="AB22" s="38">
        <f>Y21*5+Y24*4+Y25*5</f>
        <v>26.439935064935064</v>
      </c>
      <c r="AC22" s="36" t="s">
        <v>77</v>
      </c>
      <c r="AD22" s="39">
        <f>AB22*9/AB20</f>
        <v>0.27193816593773262</v>
      </c>
    </row>
    <row r="23" spans="1:30" ht="16.149999999999999" customHeight="1">
      <c r="A23" s="241"/>
      <c r="B23" s="62"/>
      <c r="C23" s="63"/>
      <c r="D23" s="56"/>
      <c r="E23" s="114"/>
      <c r="F23" s="32"/>
      <c r="G23" s="47"/>
      <c r="H23" s="55"/>
      <c r="I23" s="111"/>
      <c r="J23" s="112"/>
      <c r="K23" s="24"/>
      <c r="L23" s="67"/>
      <c r="M23" s="24"/>
      <c r="N23" s="49" t="s">
        <v>83</v>
      </c>
      <c r="O23" s="58" t="s">
        <v>81</v>
      </c>
      <c r="P23" s="59">
        <v>0</v>
      </c>
      <c r="Q23" s="36" t="s">
        <v>69</v>
      </c>
      <c r="R23" s="37" t="s">
        <v>82</v>
      </c>
      <c r="S23" s="38">
        <f>P20*2+P21*7+P22*1+P24*8</f>
        <v>30.41</v>
      </c>
      <c r="T23" s="36" t="s">
        <v>77</v>
      </c>
      <c r="U23" s="39">
        <f>S23*4/S20</f>
        <v>0.16793218654223155</v>
      </c>
      <c r="W23" s="49" t="s">
        <v>83</v>
      </c>
      <c r="X23" s="64" t="s">
        <v>81</v>
      </c>
      <c r="Y23" s="59">
        <v>0</v>
      </c>
      <c r="Z23" s="36" t="s">
        <v>69</v>
      </c>
      <c r="AA23" s="37" t="s">
        <v>82</v>
      </c>
      <c r="AB23" s="38">
        <f>Y20*2+Y21*7+Y22*1+Y24*8</f>
        <v>37.072575757575756</v>
      </c>
      <c r="AC23" s="36" t="s">
        <v>77</v>
      </c>
      <c r="AD23" s="39">
        <f>AB23*4/AB20</f>
        <v>0.16946500281727961</v>
      </c>
    </row>
    <row r="24" spans="1:30" ht="16.149999999999999" customHeight="1">
      <c r="A24" s="241" t="s">
        <v>93</v>
      </c>
      <c r="B24" s="62"/>
      <c r="C24" s="63"/>
      <c r="D24" s="45"/>
      <c r="E24" s="114"/>
      <c r="F24" s="56"/>
      <c r="G24" s="47"/>
      <c r="H24" s="55"/>
      <c r="I24" s="111"/>
      <c r="J24" s="112"/>
      <c r="K24" s="24"/>
      <c r="L24" s="109"/>
      <c r="M24" s="110"/>
      <c r="N24" s="33">
        <f>S23</f>
        <v>30.41</v>
      </c>
      <c r="O24" s="64" t="s">
        <v>84</v>
      </c>
      <c r="P24" s="59">
        <v>0</v>
      </c>
      <c r="Q24" s="36" t="s">
        <v>69</v>
      </c>
      <c r="R24" s="65"/>
      <c r="S24" s="65"/>
      <c r="T24" s="65"/>
      <c r="U24" s="66">
        <f>SUM(U21:U23)</f>
        <v>0.99999999999999989</v>
      </c>
      <c r="W24" s="33">
        <f>AB23</f>
        <v>37.072575757575756</v>
      </c>
      <c r="X24" s="64" t="s">
        <v>84</v>
      </c>
      <c r="Y24" s="59">
        <v>0</v>
      </c>
      <c r="Z24" s="36" t="s">
        <v>69</v>
      </c>
      <c r="AA24" s="65"/>
      <c r="AB24" s="65"/>
      <c r="AC24" s="65"/>
      <c r="AD24" s="66">
        <f>SUM(AD21:AD23)</f>
        <v>1</v>
      </c>
    </row>
    <row r="25" spans="1:30" ht="16.149999999999999" customHeight="1">
      <c r="A25" s="241"/>
      <c r="B25" s="62"/>
      <c r="C25" s="63"/>
      <c r="D25" s="44"/>
      <c r="E25" s="68"/>
      <c r="F25" s="62"/>
      <c r="G25" s="63"/>
      <c r="H25" s="32"/>
      <c r="I25" s="115"/>
      <c r="J25" s="73"/>
      <c r="K25" s="74"/>
      <c r="L25" s="116"/>
      <c r="M25" s="57"/>
      <c r="N25" s="49" t="s">
        <v>87</v>
      </c>
      <c r="O25" s="70" t="s">
        <v>86</v>
      </c>
      <c r="P25" s="59">
        <v>2.5</v>
      </c>
      <c r="Q25" s="36" t="s">
        <v>69</v>
      </c>
      <c r="R25" s="71"/>
      <c r="S25" s="71"/>
      <c r="T25" s="71"/>
      <c r="U25" s="72"/>
      <c r="W25" s="49" t="s">
        <v>87</v>
      </c>
      <c r="X25" s="70" t="s">
        <v>86</v>
      </c>
      <c r="Y25" s="59">
        <v>2.4</v>
      </c>
      <c r="Z25" s="36" t="s">
        <v>69</v>
      </c>
      <c r="AA25" s="71"/>
      <c r="AB25" s="71"/>
      <c r="AC25" s="71"/>
      <c r="AD25" s="72"/>
    </row>
    <row r="26" spans="1:30" ht="16.149999999999999" customHeight="1" thickBot="1">
      <c r="A26" s="242"/>
      <c r="B26" s="234" t="s">
        <v>121</v>
      </c>
      <c r="C26" s="235"/>
      <c r="D26" s="234" t="s">
        <v>131</v>
      </c>
      <c r="E26" s="257"/>
      <c r="F26" s="234" t="s">
        <v>121</v>
      </c>
      <c r="G26" s="235"/>
      <c r="H26" s="234" t="s">
        <v>96</v>
      </c>
      <c r="I26" s="257"/>
      <c r="J26" s="234" t="s">
        <v>94</v>
      </c>
      <c r="K26" s="235"/>
      <c r="L26" s="257" t="s">
        <v>97</v>
      </c>
      <c r="M26" s="235"/>
      <c r="N26" s="80">
        <f>P26</f>
        <v>724.34</v>
      </c>
      <c r="O26" s="75" t="s">
        <v>88</v>
      </c>
      <c r="P26" s="76">
        <f>P20*68+P21*73+P22*24+P23*60+P24*112+P25*45</f>
        <v>724.34</v>
      </c>
      <c r="Q26" s="77" t="s">
        <v>71</v>
      </c>
      <c r="R26" s="78"/>
      <c r="S26" s="78"/>
      <c r="T26" s="78"/>
      <c r="U26" s="79"/>
      <c r="W26" s="80">
        <f>Y26</f>
        <v>875.04971861471859</v>
      </c>
      <c r="X26" s="75" t="s">
        <v>88</v>
      </c>
      <c r="Y26" s="76">
        <f>Y20*68+Y21*73+Y22*24+Y23*60+Y24*112+Y25*45</f>
        <v>875.04971861471859</v>
      </c>
      <c r="Z26" s="77" t="s">
        <v>71</v>
      </c>
      <c r="AA26" s="78"/>
      <c r="AB26" s="78"/>
      <c r="AC26" s="78"/>
      <c r="AD26" s="79"/>
    </row>
    <row r="27" spans="1:30" ht="16.149999999999999" customHeight="1" thickBot="1">
      <c r="A27" s="251">
        <f>A19+1</f>
        <v>43923</v>
      </c>
      <c r="B27" s="243"/>
      <c r="C27" s="252"/>
      <c r="D27" s="243"/>
      <c r="E27" s="244"/>
      <c r="F27" s="255"/>
      <c r="G27" s="256"/>
      <c r="H27" s="255"/>
      <c r="I27" s="256"/>
      <c r="J27" s="255"/>
      <c r="K27" s="256"/>
      <c r="L27" s="258"/>
      <c r="M27" s="259"/>
      <c r="N27" s="16" t="s">
        <v>67</v>
      </c>
      <c r="O27" s="245" t="s">
        <v>73</v>
      </c>
      <c r="P27" s="246"/>
      <c r="Q27" s="247"/>
      <c r="R27" s="248" t="s">
        <v>74</v>
      </c>
      <c r="S27" s="249"/>
      <c r="T27" s="249"/>
      <c r="U27" s="250"/>
      <c r="W27" s="16" t="s">
        <v>67</v>
      </c>
      <c r="X27" s="245" t="s">
        <v>73</v>
      </c>
      <c r="Y27" s="246"/>
      <c r="Z27" s="247"/>
      <c r="AA27" s="248" t="s">
        <v>74</v>
      </c>
      <c r="AB27" s="249"/>
      <c r="AC27" s="249"/>
      <c r="AD27" s="250"/>
    </row>
    <row r="28" spans="1:30" ht="16.149999999999999" customHeight="1">
      <c r="A28" s="241"/>
      <c r="B28" s="45"/>
      <c r="C28" s="47"/>
      <c r="D28" s="41"/>
      <c r="E28" s="28"/>
      <c r="F28" s="25"/>
      <c r="G28" s="26"/>
      <c r="H28" s="29"/>
      <c r="I28" s="117"/>
      <c r="J28" s="118"/>
      <c r="K28" s="43"/>
      <c r="L28" s="25"/>
      <c r="M28" s="26"/>
      <c r="N28" s="33">
        <f>S29</f>
        <v>0</v>
      </c>
      <c r="O28" s="17" t="s">
        <v>68</v>
      </c>
      <c r="P28" s="18">
        <f>M28/20+K30/70</f>
        <v>0</v>
      </c>
      <c r="Q28" s="19" t="s">
        <v>69</v>
      </c>
      <c r="R28" s="86" t="s">
        <v>70</v>
      </c>
      <c r="S28" s="87">
        <f>P34</f>
        <v>112.5</v>
      </c>
      <c r="T28" s="88" t="s">
        <v>71</v>
      </c>
      <c r="U28" s="89" t="s">
        <v>72</v>
      </c>
      <c r="W28" s="33">
        <f>AB29</f>
        <v>0</v>
      </c>
      <c r="X28" s="17" t="s">
        <v>68</v>
      </c>
      <c r="Y28" s="18">
        <f>M28/20+M29/20</f>
        <v>0</v>
      </c>
      <c r="Z28" s="19" t="s">
        <v>69</v>
      </c>
      <c r="AA28" s="86" t="s">
        <v>70</v>
      </c>
      <c r="AB28" s="87">
        <f>Y34</f>
        <v>108</v>
      </c>
      <c r="AC28" s="88" t="s">
        <v>71</v>
      </c>
      <c r="AD28" s="89" t="s">
        <v>72</v>
      </c>
    </row>
    <row r="29" spans="1:30" ht="16.149999999999999" customHeight="1">
      <c r="A29" s="241"/>
      <c r="B29" s="52"/>
      <c r="C29" s="53"/>
      <c r="D29" s="56"/>
      <c r="E29" s="47"/>
      <c r="F29" s="45"/>
      <c r="G29" s="46"/>
      <c r="H29" s="52"/>
      <c r="I29" s="119"/>
      <c r="J29" s="61"/>
      <c r="K29" s="51"/>
      <c r="L29" s="56"/>
      <c r="M29" s="47"/>
      <c r="N29" s="49" t="s">
        <v>78</v>
      </c>
      <c r="O29" s="34" t="s">
        <v>75</v>
      </c>
      <c r="P29" s="35">
        <f>C28*0.68/40+E28/55+E29/35</f>
        <v>0</v>
      </c>
      <c r="Q29" s="36" t="s">
        <v>69</v>
      </c>
      <c r="R29" s="37" t="s">
        <v>76</v>
      </c>
      <c r="S29" s="38">
        <f>P28*15+P30*5+P31*15+P32*12</f>
        <v>0</v>
      </c>
      <c r="T29" s="36" t="s">
        <v>77</v>
      </c>
      <c r="U29" s="39">
        <f>S29*4/S28</f>
        <v>0</v>
      </c>
      <c r="W29" s="49" t="s">
        <v>78</v>
      </c>
      <c r="X29" s="34" t="s">
        <v>75</v>
      </c>
      <c r="Y29" s="35">
        <f>C28*0.6/40+E31/35+K29*0.6/35+E29/110+G29/35+E28/80</f>
        <v>0</v>
      </c>
      <c r="Z29" s="36" t="s">
        <v>69</v>
      </c>
      <c r="AA29" s="37" t="s">
        <v>76</v>
      </c>
      <c r="AB29" s="38">
        <f>Y28*15+Y30*5+Y31*15+Y32*12</f>
        <v>0</v>
      </c>
      <c r="AC29" s="36" t="s">
        <v>77</v>
      </c>
      <c r="AD29" s="39">
        <f>AB29*4/AB28</f>
        <v>0</v>
      </c>
    </row>
    <row r="30" spans="1:30" ht="16.149999999999999" customHeight="1">
      <c r="A30" s="241"/>
      <c r="B30" s="56"/>
      <c r="C30" s="51"/>
      <c r="D30" s="45"/>
      <c r="E30" s="47"/>
      <c r="F30" s="45"/>
      <c r="G30" s="46"/>
      <c r="H30" s="32"/>
      <c r="I30" s="47"/>
      <c r="J30" s="91"/>
      <c r="K30" s="92"/>
      <c r="L30" s="32"/>
      <c r="M30" s="120"/>
      <c r="N30" s="33">
        <f>S30</f>
        <v>12.5</v>
      </c>
      <c r="O30" s="50" t="s">
        <v>79</v>
      </c>
      <c r="P30" s="35">
        <f>(K28+K29+G32+G31+G28+G29+G30+I28+G33)/100</f>
        <v>0</v>
      </c>
      <c r="Q30" s="36" t="s">
        <v>69</v>
      </c>
      <c r="R30" s="37" t="s">
        <v>80</v>
      </c>
      <c r="S30" s="38">
        <f>P29*5+P32*4+P33*5</f>
        <v>12.5</v>
      </c>
      <c r="T30" s="36" t="s">
        <v>77</v>
      </c>
      <c r="U30" s="39">
        <f>S30*9/S28</f>
        <v>1</v>
      </c>
      <c r="W30" s="33">
        <f>AB30</f>
        <v>12</v>
      </c>
      <c r="X30" s="50" t="s">
        <v>79</v>
      </c>
      <c r="Y30" s="35">
        <f>(G28+G30+I28+K28+E30+E32+G31)/100</f>
        <v>0</v>
      </c>
      <c r="Z30" s="36" t="s">
        <v>69</v>
      </c>
      <c r="AA30" s="37" t="s">
        <v>80</v>
      </c>
      <c r="AB30" s="38">
        <f>Y29*5+Y32*4+Y33*5</f>
        <v>12</v>
      </c>
      <c r="AC30" s="36" t="s">
        <v>77</v>
      </c>
      <c r="AD30" s="39">
        <f>AB30*9/AB28</f>
        <v>1</v>
      </c>
    </row>
    <row r="31" spans="1:30" ht="16.149999999999999" customHeight="1">
      <c r="A31" s="241"/>
      <c r="B31" s="56" t="s">
        <v>98</v>
      </c>
      <c r="C31" s="51"/>
      <c r="D31" s="93"/>
      <c r="E31" s="94"/>
      <c r="F31" s="45"/>
      <c r="G31" s="46"/>
      <c r="H31" s="62"/>
      <c r="I31" s="63"/>
      <c r="J31" s="45"/>
      <c r="K31" s="57"/>
      <c r="L31" s="32"/>
      <c r="M31" s="120"/>
      <c r="N31" s="49" t="s">
        <v>83</v>
      </c>
      <c r="O31" s="58" t="s">
        <v>81</v>
      </c>
      <c r="P31" s="59">
        <v>0</v>
      </c>
      <c r="Q31" s="36" t="s">
        <v>69</v>
      </c>
      <c r="R31" s="37" t="s">
        <v>82</v>
      </c>
      <c r="S31" s="38">
        <f>P28*2+P29*7+P30*1+P32*8</f>
        <v>0</v>
      </c>
      <c r="T31" s="36" t="s">
        <v>77</v>
      </c>
      <c r="U31" s="39">
        <f>S31*4/S28</f>
        <v>0</v>
      </c>
      <c r="W31" s="49" t="s">
        <v>83</v>
      </c>
      <c r="X31" s="64" t="s">
        <v>81</v>
      </c>
      <c r="Y31" s="59">
        <v>0</v>
      </c>
      <c r="Z31" s="36" t="s">
        <v>69</v>
      </c>
      <c r="AA31" s="37" t="s">
        <v>82</v>
      </c>
      <c r="AB31" s="38">
        <f>Y28*2+Y29*7+Y30*1+Y32*8</f>
        <v>0</v>
      </c>
      <c r="AC31" s="36" t="s">
        <v>77</v>
      </c>
      <c r="AD31" s="39">
        <f>AB31*4/AB28</f>
        <v>0</v>
      </c>
    </row>
    <row r="32" spans="1:30" ht="16.149999999999999" customHeight="1">
      <c r="A32" s="241" t="s">
        <v>99</v>
      </c>
      <c r="B32" s="44"/>
      <c r="C32" s="24"/>
      <c r="D32" s="62"/>
      <c r="E32" s="63"/>
      <c r="F32" s="44"/>
      <c r="G32" s="68"/>
      <c r="H32" s="44"/>
      <c r="I32" s="121"/>
      <c r="J32" s="67"/>
      <c r="K32" s="63"/>
      <c r="L32" s="32"/>
      <c r="M32" s="120"/>
      <c r="N32" s="33">
        <f>S31</f>
        <v>0</v>
      </c>
      <c r="O32" s="64" t="s">
        <v>84</v>
      </c>
      <c r="P32" s="59">
        <v>0</v>
      </c>
      <c r="Q32" s="36" t="s">
        <v>69</v>
      </c>
      <c r="R32" s="65"/>
      <c r="S32" s="65"/>
      <c r="T32" s="65"/>
      <c r="U32" s="66">
        <f>SUM(U29:U31)</f>
        <v>1</v>
      </c>
      <c r="W32" s="33">
        <f>AB31</f>
        <v>0</v>
      </c>
      <c r="X32" s="64" t="s">
        <v>84</v>
      </c>
      <c r="Y32" s="59">
        <v>0</v>
      </c>
      <c r="Z32" s="36" t="s">
        <v>69</v>
      </c>
      <c r="AA32" s="65"/>
      <c r="AB32" s="65"/>
      <c r="AC32" s="65"/>
      <c r="AD32" s="66">
        <f>SUM(AD29:AD31)</f>
        <v>1</v>
      </c>
    </row>
    <row r="33" spans="1:30" ht="16.149999999999999" customHeight="1">
      <c r="A33" s="241"/>
      <c r="B33" s="44"/>
      <c r="C33" s="24"/>
      <c r="D33" s="44"/>
      <c r="E33" s="24"/>
      <c r="F33" s="32"/>
      <c r="G33" s="47"/>
      <c r="H33" s="44"/>
      <c r="I33" s="121"/>
      <c r="J33" s="73"/>
      <c r="K33" s="122"/>
      <c r="L33" s="123"/>
      <c r="M33" s="120"/>
      <c r="N33" s="49" t="s">
        <v>87</v>
      </c>
      <c r="O33" s="70" t="s">
        <v>86</v>
      </c>
      <c r="P33" s="59">
        <v>2.5</v>
      </c>
      <c r="Q33" s="36" t="s">
        <v>69</v>
      </c>
      <c r="R33" s="71"/>
      <c r="S33" s="71"/>
      <c r="T33" s="71"/>
      <c r="U33" s="72"/>
      <c r="W33" s="49" t="s">
        <v>87</v>
      </c>
      <c r="X33" s="70" t="s">
        <v>86</v>
      </c>
      <c r="Y33" s="59">
        <v>2.4</v>
      </c>
      <c r="Z33" s="36" t="s">
        <v>69</v>
      </c>
      <c r="AA33" s="71"/>
      <c r="AB33" s="71"/>
      <c r="AC33" s="71"/>
      <c r="AD33" s="72"/>
    </row>
    <row r="34" spans="1:30" ht="16.149999999999999" customHeight="1" thickBot="1">
      <c r="A34" s="242"/>
      <c r="B34" s="234"/>
      <c r="C34" s="235"/>
      <c r="D34" s="257"/>
      <c r="E34" s="235"/>
      <c r="F34" s="234"/>
      <c r="G34" s="235"/>
      <c r="H34" s="234"/>
      <c r="I34" s="235"/>
      <c r="J34" s="234"/>
      <c r="K34" s="235"/>
      <c r="L34" s="234"/>
      <c r="M34" s="235"/>
      <c r="N34" s="80">
        <f>P34</f>
        <v>112.5</v>
      </c>
      <c r="O34" s="75" t="s">
        <v>88</v>
      </c>
      <c r="P34" s="76">
        <f>P28*68+P29*73+P30*24+P31*60+P32*112+P33*45</f>
        <v>112.5</v>
      </c>
      <c r="Q34" s="77" t="s">
        <v>71</v>
      </c>
      <c r="R34" s="78"/>
      <c r="S34" s="78"/>
      <c r="T34" s="78"/>
      <c r="U34" s="79"/>
      <c r="W34" s="80">
        <f>Y34</f>
        <v>108</v>
      </c>
      <c r="X34" s="75" t="s">
        <v>88</v>
      </c>
      <c r="Y34" s="76">
        <f>Y28*68+Y29*73+Y30*24+Y31*60+Y32*112+Y33*45</f>
        <v>108</v>
      </c>
      <c r="Z34" s="77" t="s">
        <v>71</v>
      </c>
      <c r="AA34" s="78"/>
      <c r="AB34" s="78"/>
      <c r="AC34" s="78"/>
      <c r="AD34" s="79"/>
    </row>
    <row r="35" spans="1:30" ht="16.149999999999999" customHeight="1" thickBot="1">
      <c r="A35" s="251">
        <f>A27+1</f>
        <v>43924</v>
      </c>
      <c r="B35" s="243"/>
      <c r="C35" s="252"/>
      <c r="D35" s="255"/>
      <c r="E35" s="256"/>
      <c r="F35" s="255"/>
      <c r="G35" s="256"/>
      <c r="H35" s="255"/>
      <c r="I35" s="256"/>
      <c r="J35" s="243"/>
      <c r="K35" s="252"/>
      <c r="L35" s="243"/>
      <c r="M35" s="244"/>
      <c r="N35" s="16" t="s">
        <v>67</v>
      </c>
      <c r="O35" s="245" t="s">
        <v>73</v>
      </c>
      <c r="P35" s="246"/>
      <c r="Q35" s="247"/>
      <c r="R35" s="248" t="s">
        <v>74</v>
      </c>
      <c r="S35" s="249"/>
      <c r="T35" s="249"/>
      <c r="U35" s="250"/>
      <c r="W35" s="16" t="s">
        <v>67</v>
      </c>
      <c r="X35" s="245" t="s">
        <v>73</v>
      </c>
      <c r="Y35" s="246"/>
      <c r="Z35" s="247"/>
      <c r="AA35" s="248" t="s">
        <v>74</v>
      </c>
      <c r="AB35" s="249"/>
      <c r="AC35" s="249"/>
      <c r="AD35" s="250"/>
    </row>
    <row r="36" spans="1:30" ht="16.149999999999999" customHeight="1">
      <c r="A36" s="241"/>
      <c r="B36" s="45"/>
      <c r="C36" s="47"/>
      <c r="D36" s="23"/>
      <c r="E36" s="24"/>
      <c r="F36" s="25"/>
      <c r="G36" s="31"/>
      <c r="H36" s="41"/>
      <c r="I36" s="28"/>
      <c r="J36" s="124"/>
      <c r="K36" s="43"/>
      <c r="L36" s="125"/>
      <c r="M36" s="26"/>
      <c r="N36" s="33">
        <f>S37</f>
        <v>0</v>
      </c>
      <c r="O36" s="17" t="s">
        <v>68</v>
      </c>
      <c r="P36" s="59">
        <f>M36/20+M37/20+E38/85+G36/90+E39/45</f>
        <v>0</v>
      </c>
      <c r="Q36" s="19" t="s">
        <v>69</v>
      </c>
      <c r="R36" s="86" t="s">
        <v>70</v>
      </c>
      <c r="S36" s="87">
        <f>P42</f>
        <v>112.5</v>
      </c>
      <c r="T36" s="88" t="s">
        <v>71</v>
      </c>
      <c r="U36" s="105"/>
      <c r="W36" s="33">
        <f>AB37</f>
        <v>0</v>
      </c>
      <c r="X36" s="17" t="s">
        <v>68</v>
      </c>
      <c r="Y36" s="59">
        <f>M36/20+M37/20+K36/85+K38/90</f>
        <v>0</v>
      </c>
      <c r="Z36" s="19" t="s">
        <v>69</v>
      </c>
      <c r="AA36" s="86" t="s">
        <v>70</v>
      </c>
      <c r="AB36" s="87">
        <f>Y42</f>
        <v>108</v>
      </c>
      <c r="AC36" s="88" t="s">
        <v>71</v>
      </c>
      <c r="AD36" s="105"/>
    </row>
    <row r="37" spans="1:30" ht="16.149999999999999" customHeight="1">
      <c r="A37" s="241"/>
      <c r="B37" s="56"/>
      <c r="C37" s="24"/>
      <c r="D37" s="44"/>
      <c r="E37" s="24"/>
      <c r="F37" s="45"/>
      <c r="G37" s="48"/>
      <c r="H37" s="56"/>
      <c r="I37" s="47"/>
      <c r="J37" s="124"/>
      <c r="K37" s="24"/>
      <c r="L37" s="32"/>
      <c r="M37" s="47"/>
      <c r="N37" s="49" t="s">
        <v>78</v>
      </c>
      <c r="O37" s="34" t="s">
        <v>75</v>
      </c>
      <c r="P37" s="35">
        <f>C36/35+E36/55</f>
        <v>0</v>
      </c>
      <c r="Q37" s="36" t="s">
        <v>69</v>
      </c>
      <c r="R37" s="37" t="s">
        <v>76</v>
      </c>
      <c r="S37" s="38">
        <f>P36*15+P38*5+P39*15+P40*12</f>
        <v>0</v>
      </c>
      <c r="T37" s="36" t="s">
        <v>77</v>
      </c>
      <c r="U37" s="39">
        <f>S37*4/S36</f>
        <v>0</v>
      </c>
      <c r="W37" s="49" t="s">
        <v>78</v>
      </c>
      <c r="X37" s="34" t="s">
        <v>75</v>
      </c>
      <c r="Y37" s="35">
        <f>C36*0.6/40+C37*0.58/35+E36/2/35+E37/35+G38/55+K39/55</f>
        <v>0</v>
      </c>
      <c r="Z37" s="36" t="s">
        <v>69</v>
      </c>
      <c r="AA37" s="37" t="s">
        <v>76</v>
      </c>
      <c r="AB37" s="38">
        <f>Y36*15+Y38*5+Y39*15+Y40*12</f>
        <v>0</v>
      </c>
      <c r="AC37" s="36" t="s">
        <v>77</v>
      </c>
      <c r="AD37" s="39">
        <f>AB37*4/AB36</f>
        <v>0</v>
      </c>
    </row>
    <row r="38" spans="1:30" ht="16.149999999999999" customHeight="1">
      <c r="A38" s="241"/>
      <c r="B38" s="56"/>
      <c r="C38" s="53"/>
      <c r="D38" s="54"/>
      <c r="E38" s="46"/>
      <c r="F38" s="45"/>
      <c r="G38" s="48"/>
      <c r="H38" s="56"/>
      <c r="I38" s="47"/>
      <c r="J38" s="124"/>
      <c r="K38" s="57"/>
      <c r="L38" s="55"/>
      <c r="M38" s="47"/>
      <c r="N38" s="33">
        <f>S38</f>
        <v>12.5</v>
      </c>
      <c r="O38" s="50" t="s">
        <v>79</v>
      </c>
      <c r="P38" s="35">
        <f>(C37+C38+E37+K84+K83+I36)/100</f>
        <v>0</v>
      </c>
      <c r="Q38" s="36" t="s">
        <v>69</v>
      </c>
      <c r="R38" s="37" t="s">
        <v>80</v>
      </c>
      <c r="S38" s="38">
        <f>P37*5+P40*4+P41*5</f>
        <v>12.5</v>
      </c>
      <c r="T38" s="36" t="s">
        <v>77</v>
      </c>
      <c r="U38" s="39">
        <f>S38*9/S36</f>
        <v>1</v>
      </c>
      <c r="W38" s="33">
        <f>AB38</f>
        <v>12</v>
      </c>
      <c r="X38" s="50" t="s">
        <v>79</v>
      </c>
      <c r="Y38" s="35">
        <f>(C39+G37+G36+G39+I36+K37+K40)/100</f>
        <v>0</v>
      </c>
      <c r="Z38" s="36" t="s">
        <v>69</v>
      </c>
      <c r="AA38" s="37" t="s">
        <v>80</v>
      </c>
      <c r="AB38" s="38">
        <f>Y37*5+Y40*4+Y41*5</f>
        <v>12</v>
      </c>
      <c r="AC38" s="36" t="s">
        <v>77</v>
      </c>
      <c r="AD38" s="39">
        <f>AB38*9/AB36</f>
        <v>1</v>
      </c>
    </row>
    <row r="39" spans="1:30" ht="16.149999999999999" customHeight="1">
      <c r="A39" s="241"/>
      <c r="B39" s="56" t="s">
        <v>100</v>
      </c>
      <c r="C39" s="51"/>
      <c r="D39" s="44"/>
      <c r="E39" s="24"/>
      <c r="F39" s="45"/>
      <c r="G39" s="48"/>
      <c r="H39" s="32"/>
      <c r="I39" s="47"/>
      <c r="J39" s="124"/>
      <c r="K39" s="24"/>
      <c r="L39" s="32"/>
      <c r="M39" s="47"/>
      <c r="N39" s="49" t="s">
        <v>83</v>
      </c>
      <c r="O39" s="58" t="s">
        <v>81</v>
      </c>
      <c r="P39" s="59">
        <v>0</v>
      </c>
      <c r="Q39" s="36" t="s">
        <v>69</v>
      </c>
      <c r="R39" s="37" t="s">
        <v>82</v>
      </c>
      <c r="S39" s="38">
        <f>P36*2+P37*7+P38*1+P40*8</f>
        <v>0</v>
      </c>
      <c r="T39" s="36" t="s">
        <v>77</v>
      </c>
      <c r="U39" s="39">
        <f>S39*4/S36</f>
        <v>0</v>
      </c>
      <c r="W39" s="49" t="s">
        <v>83</v>
      </c>
      <c r="X39" s="64" t="s">
        <v>81</v>
      </c>
      <c r="Y39" s="59">
        <v>0</v>
      </c>
      <c r="Z39" s="36" t="s">
        <v>69</v>
      </c>
      <c r="AA39" s="37" t="s">
        <v>82</v>
      </c>
      <c r="AB39" s="38">
        <f>Y36*2+Y37*7+Y38*1+Y40*8</f>
        <v>0</v>
      </c>
      <c r="AC39" s="36" t="s">
        <v>77</v>
      </c>
      <c r="AD39" s="39">
        <f>AB39*4/AB36</f>
        <v>0</v>
      </c>
    </row>
    <row r="40" spans="1:30" ht="16.149999999999999" customHeight="1">
      <c r="A40" s="241" t="s">
        <v>101</v>
      </c>
      <c r="B40" s="44"/>
      <c r="C40" s="24"/>
      <c r="D40" s="55"/>
      <c r="E40" s="24"/>
      <c r="F40" s="45"/>
      <c r="G40" s="48"/>
      <c r="H40" s="32"/>
      <c r="I40" s="47"/>
      <c r="J40" s="124"/>
      <c r="K40" s="24"/>
      <c r="L40" s="32"/>
      <c r="M40" s="47"/>
      <c r="N40" s="33">
        <f>S39</f>
        <v>0</v>
      </c>
      <c r="O40" s="64" t="s">
        <v>84</v>
      </c>
      <c r="P40" s="59">
        <v>0</v>
      </c>
      <c r="Q40" s="36" t="s">
        <v>69</v>
      </c>
      <c r="R40" s="65"/>
      <c r="S40" s="65"/>
      <c r="T40" s="65"/>
      <c r="U40" s="66">
        <f>SUM(U37:U39)</f>
        <v>1</v>
      </c>
      <c r="W40" s="33">
        <f>AB39</f>
        <v>0</v>
      </c>
      <c r="X40" s="64" t="s">
        <v>84</v>
      </c>
      <c r="Y40" s="59">
        <v>0</v>
      </c>
      <c r="Z40" s="36" t="s">
        <v>69</v>
      </c>
      <c r="AA40" s="65"/>
      <c r="AB40" s="65"/>
      <c r="AC40" s="65"/>
      <c r="AD40" s="66">
        <f>SUM(AD37:AD39)</f>
        <v>1</v>
      </c>
    </row>
    <row r="41" spans="1:30" ht="16.149999999999999" customHeight="1">
      <c r="A41" s="241"/>
      <c r="B41" s="44"/>
      <c r="C41" s="24"/>
      <c r="D41" s="62"/>
      <c r="E41" s="63"/>
      <c r="F41" s="52"/>
      <c r="G41" s="53"/>
      <c r="H41" s="126"/>
      <c r="I41" s="57"/>
      <c r="J41" s="73"/>
      <c r="K41" s="74"/>
      <c r="L41" s="32"/>
      <c r="M41" s="47"/>
      <c r="N41" s="49" t="s">
        <v>87</v>
      </c>
      <c r="O41" s="70" t="s">
        <v>86</v>
      </c>
      <c r="P41" s="59">
        <v>2.5</v>
      </c>
      <c r="Q41" s="36" t="s">
        <v>69</v>
      </c>
      <c r="R41" s="71"/>
      <c r="S41" s="71"/>
      <c r="T41" s="71"/>
      <c r="U41" s="72"/>
      <c r="W41" s="49" t="s">
        <v>87</v>
      </c>
      <c r="X41" s="70" t="s">
        <v>86</v>
      </c>
      <c r="Y41" s="59">
        <v>2.4</v>
      </c>
      <c r="Z41" s="36" t="s">
        <v>69</v>
      </c>
      <c r="AA41" s="71"/>
      <c r="AB41" s="71"/>
      <c r="AC41" s="71"/>
      <c r="AD41" s="72"/>
    </row>
    <row r="42" spans="1:30" ht="16.149999999999999" customHeight="1" thickBot="1">
      <c r="A42" s="242"/>
      <c r="B42" s="234"/>
      <c r="C42" s="235"/>
      <c r="D42" s="257"/>
      <c r="E42" s="235"/>
      <c r="F42" s="234"/>
      <c r="G42" s="235"/>
      <c r="H42" s="234"/>
      <c r="I42" s="235"/>
      <c r="J42" s="234"/>
      <c r="K42" s="235"/>
      <c r="L42" s="234"/>
      <c r="M42" s="235"/>
      <c r="N42" s="80">
        <f>P42</f>
        <v>112.5</v>
      </c>
      <c r="O42" s="75" t="s">
        <v>88</v>
      </c>
      <c r="P42" s="76">
        <f>P36*68+P37*73+P38*24+P39*60+P40*112+P41*45</f>
        <v>112.5</v>
      </c>
      <c r="Q42" s="77" t="s">
        <v>71</v>
      </c>
      <c r="R42" s="78"/>
      <c r="S42" s="78"/>
      <c r="T42" s="78"/>
      <c r="U42" s="79"/>
      <c r="W42" s="80">
        <f>Y42</f>
        <v>108</v>
      </c>
      <c r="X42" s="75" t="s">
        <v>88</v>
      </c>
      <c r="Y42" s="76">
        <f>Y36*68+Y37*73+Y38*24+Y39*60+Y40*112+Y41*45</f>
        <v>108</v>
      </c>
      <c r="Z42" s="77" t="s">
        <v>71</v>
      </c>
      <c r="AA42" s="78"/>
      <c r="AB42" s="78"/>
      <c r="AC42" s="78"/>
      <c r="AD42" s="79"/>
    </row>
    <row r="43" spans="1:30">
      <c r="A43" s="236" t="s">
        <v>102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</row>
    <row r="44" spans="1:30">
      <c r="A44" s="238" t="s">
        <v>103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</row>
    <row r="45" spans="1:30">
      <c r="A45" s="239" t="s">
        <v>104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</row>
    <row r="46" spans="1:30">
      <c r="A46" s="240" t="s">
        <v>105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</row>
    <row r="47" spans="1:30">
      <c r="A47" s="233" t="s">
        <v>106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</row>
    <row r="48" spans="1:30" ht="22.6" thickBot="1">
      <c r="A48" s="266" t="s">
        <v>393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</row>
    <row r="49" spans="1:30" ht="32.799999999999997" thickBot="1">
      <c r="A49" s="127" t="s">
        <v>58</v>
      </c>
      <c r="B49" s="15" t="s">
        <v>59</v>
      </c>
      <c r="C49" s="14" t="s">
        <v>60</v>
      </c>
      <c r="D49" s="15" t="s">
        <v>61</v>
      </c>
      <c r="E49" s="14" t="s">
        <v>60</v>
      </c>
      <c r="F49" s="15" t="s">
        <v>61</v>
      </c>
      <c r="G49" s="14" t="s">
        <v>60</v>
      </c>
      <c r="H49" s="15" t="s">
        <v>62</v>
      </c>
      <c r="I49" s="14" t="s">
        <v>60</v>
      </c>
      <c r="J49" s="15" t="s">
        <v>63</v>
      </c>
      <c r="K49" s="14" t="s">
        <v>60</v>
      </c>
      <c r="L49" s="15" t="s">
        <v>64</v>
      </c>
      <c r="M49" s="14" t="s">
        <v>60</v>
      </c>
      <c r="N49" s="14" t="s">
        <v>65</v>
      </c>
      <c r="O49" s="262" t="s">
        <v>66</v>
      </c>
      <c r="P49" s="263"/>
      <c r="Q49" s="263"/>
      <c r="R49" s="263"/>
      <c r="S49" s="263"/>
      <c r="T49" s="263"/>
      <c r="U49" s="264"/>
      <c r="W49" s="14" t="s">
        <v>65</v>
      </c>
      <c r="X49" s="262" t="s">
        <v>66</v>
      </c>
      <c r="Y49" s="263"/>
      <c r="Z49" s="263"/>
      <c r="AA49" s="263"/>
      <c r="AB49" s="263"/>
      <c r="AC49" s="263"/>
      <c r="AD49" s="264"/>
    </row>
    <row r="50" spans="1:30" ht="16.149999999999999" customHeight="1" thickBot="1">
      <c r="A50" s="251">
        <f>A35+3</f>
        <v>43927</v>
      </c>
      <c r="B50" s="255" t="s">
        <v>158</v>
      </c>
      <c r="C50" s="256"/>
      <c r="D50" s="255" t="s">
        <v>159</v>
      </c>
      <c r="E50" s="256"/>
      <c r="F50" s="255" t="s">
        <v>160</v>
      </c>
      <c r="G50" s="256"/>
      <c r="H50" s="243" t="s">
        <v>90</v>
      </c>
      <c r="I50" s="254"/>
      <c r="J50" s="243" t="s">
        <v>162</v>
      </c>
      <c r="K50" s="269"/>
      <c r="L50" s="258" t="s">
        <v>157</v>
      </c>
      <c r="M50" s="259"/>
      <c r="N50" s="16" t="s">
        <v>67</v>
      </c>
      <c r="O50" s="17" t="s">
        <v>68</v>
      </c>
      <c r="P50" s="18">
        <f>C53/45+G53/65+M51/20+M52/20</f>
        <v>6.9102564102564106</v>
      </c>
      <c r="Q50" s="19" t="s">
        <v>69</v>
      </c>
      <c r="R50" s="20" t="s">
        <v>70</v>
      </c>
      <c r="S50" s="21">
        <f>P56</f>
        <v>761.9922410922411</v>
      </c>
      <c r="T50" s="19" t="s">
        <v>71</v>
      </c>
      <c r="U50" s="22" t="s">
        <v>72</v>
      </c>
      <c r="W50" s="16" t="s">
        <v>67</v>
      </c>
      <c r="X50" s="245" t="s">
        <v>73</v>
      </c>
      <c r="Y50" s="246"/>
      <c r="Z50" s="247"/>
      <c r="AA50" s="248" t="s">
        <v>74</v>
      </c>
      <c r="AB50" s="249"/>
      <c r="AC50" s="249"/>
      <c r="AD50" s="250"/>
    </row>
    <row r="51" spans="1:30" ht="16.149999999999999" customHeight="1">
      <c r="A51" s="241"/>
      <c r="B51" s="41" t="s">
        <v>263</v>
      </c>
      <c r="C51" s="42">
        <v>60</v>
      </c>
      <c r="D51" s="29" t="s">
        <v>257</v>
      </c>
      <c r="E51" s="30">
        <v>10</v>
      </c>
      <c r="F51" s="128" t="s">
        <v>267</v>
      </c>
      <c r="G51" s="28">
        <v>20</v>
      </c>
      <c r="H51" s="29" t="s">
        <v>161</v>
      </c>
      <c r="I51" s="30">
        <v>100</v>
      </c>
      <c r="J51" s="25" t="s">
        <v>376</v>
      </c>
      <c r="K51" s="26">
        <v>25</v>
      </c>
      <c r="L51" s="25" t="s">
        <v>91</v>
      </c>
      <c r="M51" s="26">
        <v>130</v>
      </c>
      <c r="N51" s="33">
        <f>S51</f>
        <v>112.15384615384616</v>
      </c>
      <c r="O51" s="34" t="s">
        <v>75</v>
      </c>
      <c r="P51" s="35">
        <f>C51/55+E51/55+E52/35+K76/25</f>
        <v>1.9012987012987013</v>
      </c>
      <c r="Q51" s="36" t="s">
        <v>69</v>
      </c>
      <c r="R51" s="37" t="s">
        <v>76</v>
      </c>
      <c r="S51" s="38">
        <f>P50*15+P52*5+P53*15+P54*12</f>
        <v>112.15384615384616</v>
      </c>
      <c r="T51" s="36" t="s">
        <v>77</v>
      </c>
      <c r="U51" s="39">
        <f>S51*4/S50</f>
        <v>0.58874009526965587</v>
      </c>
      <c r="W51" s="33">
        <f>AB52</f>
        <v>123.76470588235293</v>
      </c>
      <c r="X51" s="40" t="s">
        <v>68</v>
      </c>
      <c r="Y51" s="18">
        <f>M51/20+G51/20+E56/85</f>
        <v>7.617647058823529</v>
      </c>
      <c r="Z51" s="19" t="s">
        <v>69</v>
      </c>
      <c r="AA51" s="20" t="s">
        <v>70</v>
      </c>
      <c r="AB51" s="21">
        <f>Y57</f>
        <v>876.20857142857142</v>
      </c>
      <c r="AC51" s="19" t="s">
        <v>71</v>
      </c>
      <c r="AD51" s="22" t="s">
        <v>72</v>
      </c>
    </row>
    <row r="52" spans="1:30" ht="16.149999999999999" customHeight="1">
      <c r="A52" s="241"/>
      <c r="B52" s="32" t="s">
        <v>264</v>
      </c>
      <c r="C52" s="51">
        <v>10</v>
      </c>
      <c r="D52" s="85" t="s">
        <v>262</v>
      </c>
      <c r="E52" s="129">
        <v>15</v>
      </c>
      <c r="F52" s="128" t="s">
        <v>268</v>
      </c>
      <c r="G52" s="47">
        <v>10</v>
      </c>
      <c r="H52" s="45"/>
      <c r="I52" s="48"/>
      <c r="J52" s="45" t="s">
        <v>395</v>
      </c>
      <c r="K52" s="46">
        <v>15</v>
      </c>
      <c r="L52" s="56"/>
      <c r="M52" s="47"/>
      <c r="N52" s="49" t="s">
        <v>78</v>
      </c>
      <c r="O52" s="50" t="s">
        <v>79</v>
      </c>
      <c r="P52" s="35">
        <f>(C52+G51+G52+I51+K75)/100</f>
        <v>1.7</v>
      </c>
      <c r="Q52" s="36" t="s">
        <v>69</v>
      </c>
      <c r="R52" s="37" t="s">
        <v>80</v>
      </c>
      <c r="S52" s="38">
        <f>P51*5+P54*4+P55*5</f>
        <v>22.006493506493506</v>
      </c>
      <c r="T52" s="36" t="s">
        <v>77</v>
      </c>
      <c r="U52" s="39">
        <f>S52*9/S50</f>
        <v>0.25992186124434052</v>
      </c>
      <c r="W52" s="49" t="s">
        <v>78</v>
      </c>
      <c r="X52" s="34" t="s">
        <v>75</v>
      </c>
      <c r="Y52" s="35">
        <f>C51/35+E51/35+E52/40+G53/35+K52*0.6/40+E55/50</f>
        <v>2.8028571428571429</v>
      </c>
      <c r="Z52" s="36" t="s">
        <v>69</v>
      </c>
      <c r="AA52" s="37" t="s">
        <v>76</v>
      </c>
      <c r="AB52" s="38">
        <f>Y51*15+Y53*5+Y54*15+Y55*12</f>
        <v>123.76470588235293</v>
      </c>
      <c r="AC52" s="36" t="s">
        <v>77</v>
      </c>
      <c r="AD52" s="39">
        <f>AB52*4/AB51</f>
        <v>0.56500111922240992</v>
      </c>
    </row>
    <row r="53" spans="1:30" ht="16.149999999999999" customHeight="1">
      <c r="A53" s="241"/>
      <c r="B53" s="56" t="s">
        <v>265</v>
      </c>
      <c r="C53" s="51">
        <v>15</v>
      </c>
      <c r="D53" s="55" t="s">
        <v>258</v>
      </c>
      <c r="E53" s="46">
        <v>2</v>
      </c>
      <c r="F53" s="128" t="s">
        <v>257</v>
      </c>
      <c r="G53" s="47">
        <v>5</v>
      </c>
      <c r="H53" s="55"/>
      <c r="I53" s="46"/>
      <c r="J53" s="106" t="s">
        <v>273</v>
      </c>
      <c r="K53" s="107">
        <v>0.4</v>
      </c>
      <c r="L53" s="32"/>
      <c r="M53" s="47"/>
      <c r="N53" s="33">
        <f>S52</f>
        <v>22.006493506493506</v>
      </c>
      <c r="O53" s="58" t="s">
        <v>81</v>
      </c>
      <c r="P53" s="59">
        <v>0</v>
      </c>
      <c r="Q53" s="36" t="s">
        <v>69</v>
      </c>
      <c r="R53" s="37" t="s">
        <v>82</v>
      </c>
      <c r="S53" s="38">
        <f>P50*2+P51*7+P52*1+P54*8</f>
        <v>28.829603729603729</v>
      </c>
      <c r="T53" s="36" t="s">
        <v>77</v>
      </c>
      <c r="U53" s="39">
        <f>S53*4/S50</f>
        <v>0.1513380434860036</v>
      </c>
      <c r="W53" s="33">
        <f>AB53</f>
        <v>26.014285714285712</v>
      </c>
      <c r="X53" s="50" t="s">
        <v>79</v>
      </c>
      <c r="Y53" s="35">
        <f>(C52+C53+E54+E53+G52+G54+G55+G56+I51+K51)/100</f>
        <v>1.9</v>
      </c>
      <c r="Z53" s="36" t="s">
        <v>69</v>
      </c>
      <c r="AA53" s="37" t="s">
        <v>80</v>
      </c>
      <c r="AB53" s="38">
        <f>Y52*5+Y55*4+Y56*5</f>
        <v>26.014285714285712</v>
      </c>
      <c r="AC53" s="36" t="s">
        <v>77</v>
      </c>
      <c r="AD53" s="39">
        <f>AB53*9/AB51</f>
        <v>0.26720643812790823</v>
      </c>
    </row>
    <row r="54" spans="1:30" ht="16.149999999999999" customHeight="1">
      <c r="A54" s="241"/>
      <c r="B54" s="45"/>
      <c r="C54" s="51"/>
      <c r="D54" s="169" t="s">
        <v>259</v>
      </c>
      <c r="E54" s="47">
        <v>4</v>
      </c>
      <c r="F54" s="67" t="s">
        <v>271</v>
      </c>
      <c r="G54" s="47">
        <v>20</v>
      </c>
      <c r="H54" s="55"/>
      <c r="I54" s="46"/>
      <c r="J54" s="131"/>
      <c r="K54" s="132"/>
      <c r="L54" s="62"/>
      <c r="M54" s="63"/>
      <c r="N54" s="49" t="s">
        <v>83</v>
      </c>
      <c r="O54" s="64" t="s">
        <v>84</v>
      </c>
      <c r="P54" s="59">
        <v>0</v>
      </c>
      <c r="Q54" s="36" t="s">
        <v>69</v>
      </c>
      <c r="R54" s="65"/>
      <c r="S54" s="65"/>
      <c r="T54" s="65"/>
      <c r="U54" s="66">
        <f>SUM(U51:U53)</f>
        <v>1</v>
      </c>
      <c r="W54" s="49" t="s">
        <v>83</v>
      </c>
      <c r="X54" s="64" t="s">
        <v>81</v>
      </c>
      <c r="Y54" s="59">
        <v>0</v>
      </c>
      <c r="Z54" s="36" t="s">
        <v>69</v>
      </c>
      <c r="AA54" s="37" t="s">
        <v>82</v>
      </c>
      <c r="AB54" s="38">
        <f>Y51*2+Y52*7+Y53*1+Y55*8</f>
        <v>36.755294117647061</v>
      </c>
      <c r="AC54" s="36" t="s">
        <v>77</v>
      </c>
      <c r="AD54" s="39">
        <f>AB54*4/AB51</f>
        <v>0.16779244264968185</v>
      </c>
    </row>
    <row r="55" spans="1:30" ht="16.149999999999999" customHeight="1">
      <c r="A55" s="241" t="s">
        <v>85</v>
      </c>
      <c r="B55" s="44"/>
      <c r="C55" s="24"/>
      <c r="D55" s="55" t="s">
        <v>260</v>
      </c>
      <c r="E55" s="47">
        <v>3</v>
      </c>
      <c r="F55" s="67" t="s">
        <v>270</v>
      </c>
      <c r="G55" s="68">
        <v>1</v>
      </c>
      <c r="H55" s="55"/>
      <c r="I55" s="46"/>
      <c r="J55" s="61"/>
      <c r="K55" s="47"/>
      <c r="L55" s="55"/>
      <c r="M55" s="47"/>
      <c r="N55" s="33">
        <f>S53</f>
        <v>28.829603729603729</v>
      </c>
      <c r="O55" s="70" t="s">
        <v>86</v>
      </c>
      <c r="P55" s="59">
        <v>2.5</v>
      </c>
      <c r="Q55" s="36" t="s">
        <v>69</v>
      </c>
      <c r="R55" s="71"/>
      <c r="S55" s="71"/>
      <c r="T55" s="71"/>
      <c r="U55" s="72"/>
      <c r="W55" s="33">
        <f>AB54</f>
        <v>36.755294117647061</v>
      </c>
      <c r="X55" s="64" t="s">
        <v>84</v>
      </c>
      <c r="Y55" s="59">
        <v>0</v>
      </c>
      <c r="Z55" s="36" t="s">
        <v>69</v>
      </c>
      <c r="AA55" s="65"/>
      <c r="AB55" s="65"/>
      <c r="AC55" s="65"/>
      <c r="AD55" s="66">
        <f>SUM(AD52:AD54)</f>
        <v>1</v>
      </c>
    </row>
    <row r="56" spans="1:30" ht="16.149999999999999" customHeight="1" thickBot="1">
      <c r="A56" s="241"/>
      <c r="B56" s="32"/>
      <c r="C56" s="47"/>
      <c r="D56" s="55" t="s">
        <v>261</v>
      </c>
      <c r="E56" s="46">
        <v>10</v>
      </c>
      <c r="F56" s="27" t="s">
        <v>269</v>
      </c>
      <c r="G56" s="47">
        <v>3</v>
      </c>
      <c r="H56" s="55"/>
      <c r="I56" s="46"/>
      <c r="J56" s="27"/>
      <c r="K56" s="47"/>
      <c r="L56" s="32"/>
      <c r="M56" s="47"/>
      <c r="N56" s="49" t="s">
        <v>87</v>
      </c>
      <c r="O56" s="75" t="s">
        <v>88</v>
      </c>
      <c r="P56" s="76">
        <f>P50*68+P51*73+P52*24+P53*60+P54*112+P55*45</f>
        <v>761.9922410922411</v>
      </c>
      <c r="Q56" s="77" t="s">
        <v>71</v>
      </c>
      <c r="R56" s="78"/>
      <c r="S56" s="78"/>
      <c r="T56" s="78"/>
      <c r="U56" s="79"/>
      <c r="W56" s="49" t="s">
        <v>87</v>
      </c>
      <c r="X56" s="70" t="s">
        <v>86</v>
      </c>
      <c r="Y56" s="59">
        <v>2.4</v>
      </c>
      <c r="Z56" s="36" t="s">
        <v>69</v>
      </c>
      <c r="AA56" s="71"/>
      <c r="AB56" s="71"/>
      <c r="AC56" s="71"/>
      <c r="AD56" s="72"/>
    </row>
    <row r="57" spans="1:30" ht="16.149999999999999" customHeight="1" thickBot="1">
      <c r="A57" s="242"/>
      <c r="B57" s="234" t="s">
        <v>266</v>
      </c>
      <c r="C57" s="235"/>
      <c r="D57" s="234" t="s">
        <v>108</v>
      </c>
      <c r="E57" s="235"/>
      <c r="F57" s="257" t="s">
        <v>94</v>
      </c>
      <c r="G57" s="235"/>
      <c r="H57" s="234" t="s">
        <v>96</v>
      </c>
      <c r="I57" s="235"/>
      <c r="J57" s="234" t="s">
        <v>94</v>
      </c>
      <c r="K57" s="235"/>
      <c r="L57" s="234" t="s">
        <v>97</v>
      </c>
      <c r="M57" s="235"/>
      <c r="N57" s="80">
        <f>P56</f>
        <v>761.9922410922411</v>
      </c>
      <c r="O57" s="81"/>
      <c r="P57" s="82"/>
      <c r="Q57" s="82"/>
      <c r="R57" s="82"/>
      <c r="S57" s="82"/>
      <c r="T57" s="82"/>
      <c r="U57" s="83"/>
      <c r="W57" s="80">
        <f>Y57</f>
        <v>876.20857142857142</v>
      </c>
      <c r="X57" s="75" t="s">
        <v>88</v>
      </c>
      <c r="Y57" s="76">
        <f>Y51*68+Y52*73+Y53*24+Y54*60+Y55*112+Y56*45</f>
        <v>876.20857142857142</v>
      </c>
      <c r="Z57" s="77" t="s">
        <v>71</v>
      </c>
      <c r="AA57" s="78"/>
      <c r="AB57" s="78"/>
      <c r="AC57" s="78"/>
      <c r="AD57" s="79"/>
    </row>
    <row r="58" spans="1:30" ht="16.149999999999999" customHeight="1" thickBot="1">
      <c r="A58" s="251">
        <f>A50+1</f>
        <v>43928</v>
      </c>
      <c r="B58" s="255" t="s">
        <v>179</v>
      </c>
      <c r="C58" s="256"/>
      <c r="D58" s="255" t="s">
        <v>181</v>
      </c>
      <c r="E58" s="256"/>
      <c r="F58" s="255" t="s">
        <v>381</v>
      </c>
      <c r="G58" s="256"/>
      <c r="H58" s="243" t="s">
        <v>90</v>
      </c>
      <c r="I58" s="254"/>
      <c r="J58" s="258" t="s">
        <v>220</v>
      </c>
      <c r="K58" s="259"/>
      <c r="L58" s="253" t="s">
        <v>178</v>
      </c>
      <c r="M58" s="244"/>
      <c r="N58" s="16" t="s">
        <v>67</v>
      </c>
      <c r="O58" s="245" t="s">
        <v>73</v>
      </c>
      <c r="P58" s="246"/>
      <c r="Q58" s="247"/>
      <c r="R58" s="248" t="s">
        <v>74</v>
      </c>
      <c r="S58" s="249"/>
      <c r="T58" s="249"/>
      <c r="U58" s="250"/>
      <c r="W58" s="16" t="s">
        <v>67</v>
      </c>
      <c r="X58" s="245" t="s">
        <v>73</v>
      </c>
      <c r="Y58" s="246"/>
      <c r="Z58" s="247"/>
      <c r="AA58" s="248" t="s">
        <v>74</v>
      </c>
      <c r="AB58" s="249"/>
      <c r="AC58" s="249"/>
      <c r="AD58" s="250"/>
    </row>
    <row r="59" spans="1:30" ht="16.149999999999999" customHeight="1">
      <c r="A59" s="270"/>
      <c r="B59" s="23" t="s">
        <v>274</v>
      </c>
      <c r="C59" s="43">
        <v>55</v>
      </c>
      <c r="D59" s="25" t="s">
        <v>263</v>
      </c>
      <c r="E59" s="31">
        <v>20</v>
      </c>
      <c r="F59" s="56" t="s">
        <v>382</v>
      </c>
      <c r="G59" s="28">
        <v>20</v>
      </c>
      <c r="H59" s="85" t="s">
        <v>397</v>
      </c>
      <c r="I59" s="30">
        <v>100</v>
      </c>
      <c r="J59" s="25" t="s">
        <v>332</v>
      </c>
      <c r="K59" s="26">
        <v>20</v>
      </c>
      <c r="L59" s="32" t="s">
        <v>91</v>
      </c>
      <c r="M59" s="26">
        <v>110</v>
      </c>
      <c r="N59" s="33" t="e">
        <f>S60</f>
        <v>#REF!</v>
      </c>
      <c r="O59" s="17" t="s">
        <v>68</v>
      </c>
      <c r="P59" s="59">
        <f>M59/20+M60/55</f>
        <v>6.045454545454545</v>
      </c>
      <c r="Q59" s="19" t="s">
        <v>69</v>
      </c>
      <c r="R59" s="86" t="s">
        <v>70</v>
      </c>
      <c r="S59" s="87" t="e">
        <f>P65</f>
        <v>#REF!</v>
      </c>
      <c r="T59" s="88" t="s">
        <v>71</v>
      </c>
      <c r="U59" s="89" t="s">
        <v>72</v>
      </c>
      <c r="W59" s="33">
        <f>AB60</f>
        <v>122.59173669467786</v>
      </c>
      <c r="X59" s="17" t="s">
        <v>68</v>
      </c>
      <c r="Y59" s="18">
        <f>M59/20+E59/90+E60/85+E62/70+M60/20</f>
        <v>7.5894491129785244</v>
      </c>
      <c r="Z59" s="19" t="s">
        <v>69</v>
      </c>
      <c r="AA59" s="86" t="s">
        <v>70</v>
      </c>
      <c r="AB59" s="87">
        <f>Y65</f>
        <v>881.2903318903318</v>
      </c>
      <c r="AC59" s="88" t="s">
        <v>71</v>
      </c>
      <c r="AD59" s="89" t="s">
        <v>72</v>
      </c>
    </row>
    <row r="60" spans="1:30" ht="16.149999999999999" customHeight="1">
      <c r="A60" s="270"/>
      <c r="B60" s="55" t="s">
        <v>275</v>
      </c>
      <c r="C60" s="111">
        <v>10</v>
      </c>
      <c r="D60" s="45" t="s">
        <v>296</v>
      </c>
      <c r="E60" s="48">
        <v>30</v>
      </c>
      <c r="F60" s="56" t="s">
        <v>383</v>
      </c>
      <c r="G60" s="47">
        <v>8</v>
      </c>
      <c r="H60" s="45"/>
      <c r="I60" s="48"/>
      <c r="J60" s="56" t="s">
        <v>333</v>
      </c>
      <c r="K60" s="47">
        <v>10</v>
      </c>
      <c r="L60" s="32" t="s">
        <v>189</v>
      </c>
      <c r="M60" s="47">
        <v>30</v>
      </c>
      <c r="N60" s="49" t="s">
        <v>78</v>
      </c>
      <c r="O60" s="34" t="s">
        <v>75</v>
      </c>
      <c r="P60" s="35" t="e">
        <f>#REF!/35+G63/40+#REF!/20+#REF!*0.6/40</f>
        <v>#REF!</v>
      </c>
      <c r="Q60" s="36" t="s">
        <v>69</v>
      </c>
      <c r="R60" s="37" t="s">
        <v>76</v>
      </c>
      <c r="S60" s="38" t="e">
        <f>P59*15+P61*5+P62*15+P63*12</f>
        <v>#REF!</v>
      </c>
      <c r="T60" s="36" t="s">
        <v>77</v>
      </c>
      <c r="U60" s="39" t="e">
        <f>S60*4/S59</f>
        <v>#REF!</v>
      </c>
      <c r="W60" s="49" t="s">
        <v>78</v>
      </c>
      <c r="X60" s="34" t="s">
        <v>75</v>
      </c>
      <c r="Y60" s="35">
        <f>C59/40+E59/35+G60/40+G61/40+G62/35+K60/80+K61/55</f>
        <v>2.9480519480519476</v>
      </c>
      <c r="Z60" s="36" t="s">
        <v>69</v>
      </c>
      <c r="AA60" s="37" t="s">
        <v>76</v>
      </c>
      <c r="AB60" s="38">
        <f>Y59*15+Y61*5+Y62*15+Y63*12</f>
        <v>122.59173669467786</v>
      </c>
      <c r="AC60" s="36" t="s">
        <v>77</v>
      </c>
      <c r="AD60" s="39">
        <f>AB60*4/AB59</f>
        <v>0.55641929683591829</v>
      </c>
    </row>
    <row r="61" spans="1:30" ht="16.149999999999999" customHeight="1">
      <c r="A61" s="270"/>
      <c r="B61" s="61" t="s">
        <v>276</v>
      </c>
      <c r="C61" s="46">
        <v>5</v>
      </c>
      <c r="D61" s="45" t="s">
        <v>313</v>
      </c>
      <c r="E61" s="48">
        <v>5</v>
      </c>
      <c r="F61" s="56" t="s">
        <v>307</v>
      </c>
      <c r="G61" s="47">
        <v>12</v>
      </c>
      <c r="H61" s="55"/>
      <c r="I61" s="46"/>
      <c r="J61" s="32" t="s">
        <v>412</v>
      </c>
      <c r="K61" s="47">
        <v>5</v>
      </c>
      <c r="L61" s="130"/>
      <c r="M61" s="110"/>
      <c r="N61" s="33" t="e">
        <f>S61</f>
        <v>#REF!</v>
      </c>
      <c r="O61" s="50" t="s">
        <v>79</v>
      </c>
      <c r="P61" s="35" t="e">
        <f>(C59+G59+G60+G61+G62+#REF!+#REF!+I59+#REF!)/100</f>
        <v>#REF!</v>
      </c>
      <c r="Q61" s="36" t="s">
        <v>69</v>
      </c>
      <c r="R61" s="37" t="s">
        <v>80</v>
      </c>
      <c r="S61" s="38" t="e">
        <f>P60*5+P63*4+P64*5</f>
        <v>#REF!</v>
      </c>
      <c r="T61" s="36" t="s">
        <v>77</v>
      </c>
      <c r="U61" s="39" t="e">
        <f>S61*9/S59</f>
        <v>#REF!</v>
      </c>
      <c r="W61" s="33">
        <f>AB61</f>
        <v>26.740259740259738</v>
      </c>
      <c r="X61" s="50" t="s">
        <v>79</v>
      </c>
      <c r="Y61" s="35">
        <f>(C60+C61+E61+G59+G63+K59+I59+E63)/100</f>
        <v>1.75</v>
      </c>
      <c r="Z61" s="36" t="s">
        <v>69</v>
      </c>
      <c r="AA61" s="37" t="s">
        <v>80</v>
      </c>
      <c r="AB61" s="38">
        <f>Y60*5+Y63*4+Y64*5</f>
        <v>26.740259740259738</v>
      </c>
      <c r="AC61" s="36" t="s">
        <v>77</v>
      </c>
      <c r="AD61" s="39">
        <f>AB61*9/AB59</f>
        <v>0.27307951642465744</v>
      </c>
    </row>
    <row r="62" spans="1:30" ht="16.149999999999999" customHeight="1">
      <c r="A62" s="270"/>
      <c r="B62" s="44"/>
      <c r="C62" s="24"/>
      <c r="D62" s="45" t="s">
        <v>280</v>
      </c>
      <c r="E62" s="48">
        <v>1</v>
      </c>
      <c r="F62" s="45" t="s">
        <v>286</v>
      </c>
      <c r="G62" s="47">
        <v>10</v>
      </c>
      <c r="H62" s="55"/>
      <c r="I62" s="46"/>
      <c r="J62" s="62"/>
      <c r="K62" s="63"/>
      <c r="L62" s="130"/>
      <c r="M62" s="110"/>
      <c r="N62" s="49" t="s">
        <v>83</v>
      </c>
      <c r="O62" s="58" t="s">
        <v>81</v>
      </c>
      <c r="P62" s="59">
        <v>0</v>
      </c>
      <c r="Q62" s="36" t="s">
        <v>69</v>
      </c>
      <c r="R62" s="37" t="s">
        <v>82</v>
      </c>
      <c r="S62" s="38" t="e">
        <f>P59*2+P60*7+P61*1+P63*8</f>
        <v>#REF!</v>
      </c>
      <c r="T62" s="36" t="s">
        <v>77</v>
      </c>
      <c r="U62" s="39" t="e">
        <f>S62*4/S59</f>
        <v>#REF!</v>
      </c>
      <c r="W62" s="49" t="s">
        <v>83</v>
      </c>
      <c r="X62" s="64" t="s">
        <v>81</v>
      </c>
      <c r="Y62" s="59">
        <v>0</v>
      </c>
      <c r="Z62" s="36" t="s">
        <v>69</v>
      </c>
      <c r="AA62" s="37" t="s">
        <v>82</v>
      </c>
      <c r="AB62" s="38">
        <f>Y59*2+Y60*7+Y61*1+Y63*8</f>
        <v>37.565261862320682</v>
      </c>
      <c r="AC62" s="36" t="s">
        <v>77</v>
      </c>
      <c r="AD62" s="39">
        <f>AB62*4/AB59</f>
        <v>0.17050118673942435</v>
      </c>
    </row>
    <row r="63" spans="1:30" ht="16.149999999999999" customHeight="1">
      <c r="A63" s="270" t="s">
        <v>89</v>
      </c>
      <c r="B63" s="44"/>
      <c r="C63" s="24"/>
      <c r="D63" s="45" t="s">
        <v>396</v>
      </c>
      <c r="E63" s="48">
        <v>10</v>
      </c>
      <c r="F63" s="45" t="s">
        <v>313</v>
      </c>
      <c r="G63" s="110">
        <v>5</v>
      </c>
      <c r="H63" s="55"/>
      <c r="I63" s="46"/>
      <c r="J63" s="55"/>
      <c r="K63" s="47"/>
      <c r="L63" s="130"/>
      <c r="M63" s="110"/>
      <c r="N63" s="33" t="e">
        <f>S62</f>
        <v>#REF!</v>
      </c>
      <c r="O63" s="64" t="s">
        <v>84</v>
      </c>
      <c r="P63" s="59">
        <v>0</v>
      </c>
      <c r="Q63" s="36" t="s">
        <v>69</v>
      </c>
      <c r="R63" s="65"/>
      <c r="S63" s="65"/>
      <c r="T63" s="65"/>
      <c r="U63" s="66" t="e">
        <f>SUM(U60:U62)</f>
        <v>#REF!</v>
      </c>
      <c r="W63" s="33">
        <f>AB62</f>
        <v>37.565261862320682</v>
      </c>
      <c r="X63" s="64" t="s">
        <v>84</v>
      </c>
      <c r="Y63" s="59">
        <v>0</v>
      </c>
      <c r="Z63" s="36" t="s">
        <v>69</v>
      </c>
      <c r="AA63" s="65"/>
      <c r="AB63" s="65"/>
      <c r="AC63" s="65"/>
      <c r="AD63" s="66">
        <f>SUM(AD60:AD62)</f>
        <v>1</v>
      </c>
    </row>
    <row r="64" spans="1:30" ht="16.149999999999999" customHeight="1">
      <c r="A64" s="270"/>
      <c r="B64" s="44"/>
      <c r="C64" s="24"/>
      <c r="D64" s="52"/>
      <c r="E64" s="53"/>
      <c r="F64" s="55"/>
      <c r="G64" s="46"/>
      <c r="H64" s="55"/>
      <c r="I64" s="46"/>
      <c r="J64" s="32"/>
      <c r="K64" s="47"/>
      <c r="L64" s="130"/>
      <c r="M64" s="110"/>
      <c r="N64" s="49" t="s">
        <v>87</v>
      </c>
      <c r="O64" s="70" t="s">
        <v>86</v>
      </c>
      <c r="P64" s="59">
        <v>2.5</v>
      </c>
      <c r="Q64" s="36" t="s">
        <v>69</v>
      </c>
      <c r="R64" s="71"/>
      <c r="S64" s="71"/>
      <c r="T64" s="71"/>
      <c r="U64" s="72"/>
      <c r="W64" s="49" t="s">
        <v>87</v>
      </c>
      <c r="X64" s="70" t="s">
        <v>86</v>
      </c>
      <c r="Y64" s="59">
        <v>2.4</v>
      </c>
      <c r="Z64" s="36" t="s">
        <v>69</v>
      </c>
      <c r="AA64" s="71"/>
      <c r="AB64" s="71"/>
      <c r="AC64" s="71"/>
      <c r="AD64" s="72"/>
    </row>
    <row r="65" spans="1:30" ht="16.149999999999999" customHeight="1" thickBot="1">
      <c r="A65" s="271"/>
      <c r="B65" s="234" t="s">
        <v>180</v>
      </c>
      <c r="C65" s="235"/>
      <c r="D65" s="234" t="s">
        <v>180</v>
      </c>
      <c r="E65" s="235"/>
      <c r="F65" s="234" t="s">
        <v>384</v>
      </c>
      <c r="G65" s="235"/>
      <c r="H65" s="234" t="s">
        <v>96</v>
      </c>
      <c r="I65" s="235"/>
      <c r="J65" s="234" t="s">
        <v>94</v>
      </c>
      <c r="K65" s="235"/>
      <c r="L65" s="234" t="s">
        <v>97</v>
      </c>
      <c r="M65" s="235"/>
      <c r="N65" s="80" t="e">
        <f>P65</f>
        <v>#REF!</v>
      </c>
      <c r="O65" s="75" t="s">
        <v>88</v>
      </c>
      <c r="P65" s="76" t="e">
        <f>P59*68+P60*73+P61*24+P62*60+P63*112+P64*45</f>
        <v>#REF!</v>
      </c>
      <c r="Q65" s="77" t="s">
        <v>71</v>
      </c>
      <c r="R65" s="78"/>
      <c r="S65" s="78"/>
      <c r="T65" s="78"/>
      <c r="U65" s="79"/>
      <c r="W65" s="80">
        <f>Y65</f>
        <v>881.2903318903318</v>
      </c>
      <c r="X65" s="75" t="s">
        <v>88</v>
      </c>
      <c r="Y65" s="76">
        <f>Y59*68+Y60*73+Y61*24+Y62*60+Y63*112+Y64*45</f>
        <v>881.2903318903318</v>
      </c>
      <c r="Z65" s="77" t="s">
        <v>71</v>
      </c>
      <c r="AA65" s="78"/>
      <c r="AB65" s="78"/>
      <c r="AC65" s="78"/>
      <c r="AD65" s="79"/>
    </row>
    <row r="66" spans="1:30" ht="16.149999999999999" customHeight="1" thickBot="1">
      <c r="A66" s="251">
        <f>A58+1</f>
        <v>43929</v>
      </c>
      <c r="B66" s="255" t="s">
        <v>183</v>
      </c>
      <c r="C66" s="261"/>
      <c r="D66" s="255" t="s">
        <v>184</v>
      </c>
      <c r="E66" s="256"/>
      <c r="F66" s="243" t="s">
        <v>185</v>
      </c>
      <c r="G66" s="252"/>
      <c r="H66" s="243" t="s">
        <v>90</v>
      </c>
      <c r="I66" s="254"/>
      <c r="J66" s="255" t="s">
        <v>187</v>
      </c>
      <c r="K66" s="256"/>
      <c r="L66" s="259" t="s">
        <v>188</v>
      </c>
      <c r="M66" s="260"/>
      <c r="N66" s="16" t="s">
        <v>67</v>
      </c>
      <c r="O66" s="245" t="s">
        <v>73</v>
      </c>
      <c r="P66" s="246"/>
      <c r="Q66" s="247"/>
      <c r="R66" s="248" t="s">
        <v>74</v>
      </c>
      <c r="S66" s="249"/>
      <c r="T66" s="249"/>
      <c r="U66" s="250"/>
      <c r="W66" s="16" t="s">
        <v>67</v>
      </c>
      <c r="X66" s="245" t="s">
        <v>73</v>
      </c>
      <c r="Y66" s="246"/>
      <c r="Z66" s="247"/>
      <c r="AA66" s="248" t="s">
        <v>74</v>
      </c>
      <c r="AB66" s="249"/>
      <c r="AC66" s="249"/>
      <c r="AD66" s="250"/>
    </row>
    <row r="67" spans="1:30" ht="16.149999999999999" customHeight="1">
      <c r="A67" s="241"/>
      <c r="B67" s="23" t="s">
        <v>277</v>
      </c>
      <c r="C67" s="43">
        <v>50</v>
      </c>
      <c r="D67" s="25" t="s">
        <v>279</v>
      </c>
      <c r="E67" s="31">
        <v>55</v>
      </c>
      <c r="F67" s="61" t="s">
        <v>281</v>
      </c>
      <c r="G67" s="48">
        <v>25</v>
      </c>
      <c r="H67" s="135" t="s">
        <v>186</v>
      </c>
      <c r="I67" s="30">
        <v>120</v>
      </c>
      <c r="J67" s="136" t="s">
        <v>285</v>
      </c>
      <c r="K67" s="26">
        <v>10</v>
      </c>
      <c r="L67" s="137" t="s">
        <v>91</v>
      </c>
      <c r="M67" s="104">
        <v>110</v>
      </c>
      <c r="N67" s="33" t="e">
        <f>S68</f>
        <v>#REF!</v>
      </c>
      <c r="O67" s="17" t="s">
        <v>68</v>
      </c>
      <c r="P67" s="59">
        <f>C69/90+M67/20</f>
        <v>5.5</v>
      </c>
      <c r="Q67" s="19" t="s">
        <v>69</v>
      </c>
      <c r="R67" s="86" t="s">
        <v>70</v>
      </c>
      <c r="S67" s="87" t="e">
        <f>P73</f>
        <v>#REF!</v>
      </c>
      <c r="T67" s="88" t="s">
        <v>71</v>
      </c>
      <c r="U67" s="105"/>
      <c r="W67" s="33">
        <f>AB68</f>
        <v>121.98277310924371</v>
      </c>
      <c r="X67" s="17" t="s">
        <v>68</v>
      </c>
      <c r="Y67" s="18">
        <f>M67/20+E68/85+E69/70+G68/70+M68/20</f>
        <v>7.5621848739495805</v>
      </c>
      <c r="Z67" s="19" t="s">
        <v>69</v>
      </c>
      <c r="AA67" s="86" t="s">
        <v>70</v>
      </c>
      <c r="AB67" s="87">
        <f>Y73</f>
        <v>871.84</v>
      </c>
      <c r="AC67" s="88" t="s">
        <v>71</v>
      </c>
      <c r="AD67" s="105"/>
    </row>
    <row r="68" spans="1:30" ht="16.149999999999999" customHeight="1">
      <c r="A68" s="241"/>
      <c r="B68" s="45" t="s">
        <v>278</v>
      </c>
      <c r="C68" s="46">
        <v>1</v>
      </c>
      <c r="D68" s="45" t="s">
        <v>261</v>
      </c>
      <c r="E68" s="48">
        <v>15</v>
      </c>
      <c r="F68" s="61" t="s">
        <v>282</v>
      </c>
      <c r="G68" s="48">
        <v>15</v>
      </c>
      <c r="H68" s="69"/>
      <c r="I68" s="92"/>
      <c r="J68" s="69" t="s">
        <v>286</v>
      </c>
      <c r="K68" s="46">
        <v>15</v>
      </c>
      <c r="L68" s="55" t="s">
        <v>377</v>
      </c>
      <c r="M68" s="110">
        <v>30</v>
      </c>
      <c r="N68" s="49" t="s">
        <v>78</v>
      </c>
      <c r="O68" s="34" t="s">
        <v>75</v>
      </c>
      <c r="P68" s="35" t="e">
        <f>C67*0.68/40+#REF!/35+E69/25+E71/3/35+K67/225</f>
        <v>#REF!</v>
      </c>
      <c r="Q68" s="36" t="s">
        <v>69</v>
      </c>
      <c r="R68" s="37" t="s">
        <v>76</v>
      </c>
      <c r="S68" s="38" t="e">
        <f>P67*15+P69*5+P70*15+P71*12</f>
        <v>#REF!</v>
      </c>
      <c r="T68" s="36" t="s">
        <v>77</v>
      </c>
      <c r="U68" s="39" t="e">
        <f>S68*4/S67</f>
        <v>#REF!</v>
      </c>
      <c r="W68" s="49" t="s">
        <v>78</v>
      </c>
      <c r="X68" s="34" t="s">
        <v>75</v>
      </c>
      <c r="Y68" s="35">
        <f>C67/35+K68/35+E67/55</f>
        <v>2.8571428571428572</v>
      </c>
      <c r="Z68" s="36" t="s">
        <v>69</v>
      </c>
      <c r="AA68" s="37" t="s">
        <v>76</v>
      </c>
      <c r="AB68" s="38">
        <f>Y67*15+Y69*5+Y70*15+Y71*12</f>
        <v>121.98277310924371</v>
      </c>
      <c r="AC68" s="36" t="s">
        <v>77</v>
      </c>
      <c r="AD68" s="39">
        <f>AB68*4/AB67</f>
        <v>0.55965669438999677</v>
      </c>
    </row>
    <row r="69" spans="1:30" ht="16.149999999999999" customHeight="1">
      <c r="A69" s="241"/>
      <c r="B69" s="45"/>
      <c r="C69" s="46"/>
      <c r="D69" s="45" t="s">
        <v>280</v>
      </c>
      <c r="E69" s="48">
        <v>12</v>
      </c>
      <c r="F69" s="44" t="s">
        <v>283</v>
      </c>
      <c r="G69" s="24">
        <v>5</v>
      </c>
      <c r="H69" s="69"/>
      <c r="I69" s="46"/>
      <c r="J69" s="69" t="s">
        <v>269</v>
      </c>
      <c r="K69" s="47">
        <v>3</v>
      </c>
      <c r="L69" s="130"/>
      <c r="M69" s="110"/>
      <c r="N69" s="33" t="e">
        <f>S69</f>
        <v>#REF!</v>
      </c>
      <c r="O69" s="50" t="s">
        <v>79</v>
      </c>
      <c r="P69" s="35" t="e">
        <f>(C70+E67+E68+G67+G68+#REF!+G70+I67+K68+K69+K70)/100</f>
        <v>#REF!</v>
      </c>
      <c r="Q69" s="36" t="s">
        <v>69</v>
      </c>
      <c r="R69" s="37" t="s">
        <v>80</v>
      </c>
      <c r="S69" s="38" t="e">
        <f>P68*5+P71*4+P72*5</f>
        <v>#REF!</v>
      </c>
      <c r="T69" s="36" t="s">
        <v>77</v>
      </c>
      <c r="U69" s="39" t="e">
        <f>S69*9/S67</f>
        <v>#REF!</v>
      </c>
      <c r="W69" s="33">
        <f>AB69</f>
        <v>26.285714285714285</v>
      </c>
      <c r="X69" s="50" t="s">
        <v>79</v>
      </c>
      <c r="Y69" s="35">
        <f>(E70+G67+G69+G70+I67+K67+K69)/100</f>
        <v>1.71</v>
      </c>
      <c r="Z69" s="36" t="s">
        <v>69</v>
      </c>
      <c r="AA69" s="37" t="s">
        <v>80</v>
      </c>
      <c r="AB69" s="38">
        <f>Y68*5+Y71*4+Y72*5</f>
        <v>26.285714285714285</v>
      </c>
      <c r="AC69" s="36" t="s">
        <v>77</v>
      </c>
      <c r="AD69" s="39">
        <f>AB69*9/AB67</f>
        <v>0.27134729832472537</v>
      </c>
    </row>
    <row r="70" spans="1:30" ht="16.149999999999999" customHeight="1">
      <c r="A70" s="241"/>
      <c r="B70" s="45"/>
      <c r="C70" s="99"/>
      <c r="D70" s="138" t="s">
        <v>259</v>
      </c>
      <c r="E70" s="129">
        <v>5</v>
      </c>
      <c r="F70" s="44" t="s">
        <v>284</v>
      </c>
      <c r="G70" s="24">
        <v>3</v>
      </c>
      <c r="H70" s="69"/>
      <c r="I70" s="46"/>
      <c r="J70" s="69"/>
      <c r="K70" s="47"/>
      <c r="L70" s="67"/>
      <c r="M70" s="24"/>
      <c r="N70" s="49" t="s">
        <v>83</v>
      </c>
      <c r="O70" s="58" t="s">
        <v>81</v>
      </c>
      <c r="P70" s="59">
        <v>0</v>
      </c>
      <c r="Q70" s="36" t="s">
        <v>69</v>
      </c>
      <c r="R70" s="37" t="s">
        <v>82</v>
      </c>
      <c r="S70" s="38" t="e">
        <f>P67*2+P68*7+P69*1+P71*8</f>
        <v>#REF!</v>
      </c>
      <c r="T70" s="36" t="s">
        <v>77</v>
      </c>
      <c r="U70" s="39" t="e">
        <f>S70*4/S67</f>
        <v>#REF!</v>
      </c>
      <c r="W70" s="49" t="s">
        <v>83</v>
      </c>
      <c r="X70" s="64" t="s">
        <v>81</v>
      </c>
      <c r="Y70" s="59">
        <v>0</v>
      </c>
      <c r="Z70" s="36" t="s">
        <v>69</v>
      </c>
      <c r="AA70" s="37" t="s">
        <v>82</v>
      </c>
      <c r="AB70" s="38">
        <f>Y67*2+Y68*7+Y69*1+Y71*8</f>
        <v>36.83436974789916</v>
      </c>
      <c r="AC70" s="36" t="s">
        <v>77</v>
      </c>
      <c r="AD70" s="39">
        <f>AB70*4/AB67</f>
        <v>0.16899600728527783</v>
      </c>
    </row>
    <row r="71" spans="1:30" ht="16.149999999999999" customHeight="1">
      <c r="A71" s="241" t="s">
        <v>93</v>
      </c>
      <c r="B71" s="45"/>
      <c r="C71" s="133"/>
      <c r="D71" s="61"/>
      <c r="E71" s="48"/>
      <c r="F71" s="45"/>
      <c r="G71" s="110"/>
      <c r="H71" s="69"/>
      <c r="I71" s="46"/>
      <c r="J71" s="139"/>
      <c r="K71" s="57"/>
      <c r="L71" s="130"/>
      <c r="M71" s="110"/>
      <c r="N71" s="33" t="e">
        <f>S70</f>
        <v>#REF!</v>
      </c>
      <c r="O71" s="64" t="s">
        <v>84</v>
      </c>
      <c r="P71" s="59">
        <v>0</v>
      </c>
      <c r="Q71" s="36" t="s">
        <v>69</v>
      </c>
      <c r="R71" s="65"/>
      <c r="S71" s="65"/>
      <c r="T71" s="65"/>
      <c r="U71" s="66" t="e">
        <f>SUM(U68:U70)</f>
        <v>#REF!</v>
      </c>
      <c r="W71" s="33">
        <f>AB70</f>
        <v>36.83436974789916</v>
      </c>
      <c r="X71" s="64" t="s">
        <v>84</v>
      </c>
      <c r="Y71" s="59">
        <v>0</v>
      </c>
      <c r="Z71" s="36" t="s">
        <v>69</v>
      </c>
      <c r="AA71" s="65"/>
      <c r="AB71" s="65"/>
      <c r="AC71" s="65"/>
      <c r="AD71" s="66">
        <f>SUM(AD68:AD70)</f>
        <v>1</v>
      </c>
    </row>
    <row r="72" spans="1:30" ht="16.149999999999999" customHeight="1">
      <c r="A72" s="241"/>
      <c r="B72" s="56"/>
      <c r="C72" s="51"/>
      <c r="D72" s="62"/>
      <c r="E72" s="100"/>
      <c r="F72" s="45"/>
      <c r="G72" s="110"/>
      <c r="H72" s="27"/>
      <c r="I72" s="120"/>
      <c r="J72" s="52"/>
      <c r="K72" s="119"/>
      <c r="L72" s="126"/>
      <c r="M72" s="57"/>
      <c r="N72" s="49" t="s">
        <v>87</v>
      </c>
      <c r="O72" s="70" t="s">
        <v>86</v>
      </c>
      <c r="P72" s="59">
        <v>2.5</v>
      </c>
      <c r="Q72" s="36" t="s">
        <v>69</v>
      </c>
      <c r="R72" s="71"/>
      <c r="S72" s="71"/>
      <c r="T72" s="71"/>
      <c r="U72" s="72"/>
      <c r="W72" s="49" t="s">
        <v>87</v>
      </c>
      <c r="X72" s="70" t="s">
        <v>86</v>
      </c>
      <c r="Y72" s="59">
        <v>2.4</v>
      </c>
      <c r="Z72" s="36" t="s">
        <v>69</v>
      </c>
      <c r="AA72" s="71"/>
      <c r="AB72" s="71"/>
      <c r="AC72" s="71"/>
      <c r="AD72" s="72"/>
    </row>
    <row r="73" spans="1:30" ht="16.149999999999999" customHeight="1" thickBot="1">
      <c r="A73" s="242"/>
      <c r="B73" s="234" t="s">
        <v>182</v>
      </c>
      <c r="C73" s="235"/>
      <c r="D73" s="234" t="s">
        <v>191</v>
      </c>
      <c r="E73" s="235"/>
      <c r="F73" s="234" t="s">
        <v>107</v>
      </c>
      <c r="G73" s="235"/>
      <c r="H73" s="234" t="s">
        <v>96</v>
      </c>
      <c r="I73" s="235"/>
      <c r="J73" s="234" t="s">
        <v>94</v>
      </c>
      <c r="K73" s="235"/>
      <c r="L73" s="234" t="s">
        <v>97</v>
      </c>
      <c r="M73" s="235"/>
      <c r="N73" s="80" t="e">
        <f>P73</f>
        <v>#REF!</v>
      </c>
      <c r="O73" s="75" t="s">
        <v>88</v>
      </c>
      <c r="P73" s="76" t="e">
        <f>P67*68+P68*73+P69*24+P70*60+P71*112+P72*45</f>
        <v>#REF!</v>
      </c>
      <c r="Q73" s="77" t="s">
        <v>71</v>
      </c>
      <c r="R73" s="78"/>
      <c r="S73" s="78"/>
      <c r="T73" s="78"/>
      <c r="U73" s="79"/>
      <c r="W73" s="80">
        <f>Y73</f>
        <v>871.84</v>
      </c>
      <c r="X73" s="75" t="s">
        <v>88</v>
      </c>
      <c r="Y73" s="76">
        <f>Y67*68+Y68*73+Y69*24+Y70*60+Y71*112+Y72*45</f>
        <v>871.84</v>
      </c>
      <c r="Z73" s="77" t="s">
        <v>71</v>
      </c>
      <c r="AA73" s="78"/>
      <c r="AB73" s="78"/>
      <c r="AC73" s="78"/>
      <c r="AD73" s="79"/>
    </row>
    <row r="74" spans="1:30" ht="16.149999999999999" customHeight="1" thickBot="1">
      <c r="A74" s="251">
        <f>A66+1</f>
        <v>43930</v>
      </c>
      <c r="B74" s="255" t="s">
        <v>190</v>
      </c>
      <c r="C74" s="256"/>
      <c r="D74" s="243" t="s">
        <v>192</v>
      </c>
      <c r="E74" s="244"/>
      <c r="F74" s="255" t="s">
        <v>195</v>
      </c>
      <c r="G74" s="256"/>
      <c r="H74" s="243" t="s">
        <v>90</v>
      </c>
      <c r="I74" s="254"/>
      <c r="J74" s="255" t="s">
        <v>198</v>
      </c>
      <c r="K74" s="256"/>
      <c r="L74" s="258" t="s">
        <v>199</v>
      </c>
      <c r="M74" s="259"/>
      <c r="N74" s="16" t="s">
        <v>67</v>
      </c>
      <c r="O74" s="245" t="s">
        <v>73</v>
      </c>
      <c r="P74" s="246"/>
      <c r="Q74" s="247"/>
      <c r="R74" s="248" t="s">
        <v>74</v>
      </c>
      <c r="S74" s="249"/>
      <c r="T74" s="249"/>
      <c r="U74" s="250"/>
      <c r="W74" s="16" t="s">
        <v>67</v>
      </c>
      <c r="X74" s="245" t="s">
        <v>73</v>
      </c>
      <c r="Y74" s="246"/>
      <c r="Z74" s="247"/>
      <c r="AA74" s="248" t="s">
        <v>74</v>
      </c>
      <c r="AB74" s="249"/>
      <c r="AC74" s="249"/>
      <c r="AD74" s="250"/>
    </row>
    <row r="75" spans="1:30" ht="16.149999999999999" customHeight="1">
      <c r="A75" s="241"/>
      <c r="B75" s="56" t="s">
        <v>287</v>
      </c>
      <c r="C75" s="47">
        <v>100</v>
      </c>
      <c r="D75" s="25" t="s">
        <v>194</v>
      </c>
      <c r="E75" s="26">
        <v>30</v>
      </c>
      <c r="F75" s="55" t="s">
        <v>288</v>
      </c>
      <c r="G75" s="46">
        <v>30</v>
      </c>
      <c r="H75" s="29" t="s">
        <v>197</v>
      </c>
      <c r="I75" s="117">
        <v>140</v>
      </c>
      <c r="J75" s="23" t="s">
        <v>289</v>
      </c>
      <c r="K75" s="43">
        <v>30</v>
      </c>
      <c r="L75" s="25" t="s">
        <v>291</v>
      </c>
      <c r="M75" s="26">
        <v>140</v>
      </c>
      <c r="N75" s="33">
        <f>S76</f>
        <v>121.67307692307692</v>
      </c>
      <c r="O75" s="17" t="s">
        <v>68</v>
      </c>
      <c r="P75" s="59">
        <f>E75/65+E77/45+E78/90+M75/20</f>
        <v>7.4615384615384617</v>
      </c>
      <c r="Q75" s="19" t="s">
        <v>69</v>
      </c>
      <c r="R75" s="86" t="s">
        <v>70</v>
      </c>
      <c r="S75" s="87">
        <f>P81</f>
        <v>895.59175824175827</v>
      </c>
      <c r="T75" s="88" t="s">
        <v>71</v>
      </c>
      <c r="U75" s="89" t="s">
        <v>72</v>
      </c>
      <c r="W75" s="33">
        <f>AB76</f>
        <v>120.9</v>
      </c>
      <c r="X75" s="17" t="s">
        <v>68</v>
      </c>
      <c r="Y75" s="18">
        <f>M75/20+G75/60</f>
        <v>7.5</v>
      </c>
      <c r="Z75" s="19" t="s">
        <v>69</v>
      </c>
      <c r="AA75" s="86" t="s">
        <v>70</v>
      </c>
      <c r="AB75" s="87">
        <f>Y81</f>
        <v>864.28428571428572</v>
      </c>
      <c r="AC75" s="88" t="s">
        <v>71</v>
      </c>
      <c r="AD75" s="89" t="s">
        <v>72</v>
      </c>
    </row>
    <row r="76" spans="1:30" ht="16.149999999999999" customHeight="1">
      <c r="A76" s="241"/>
      <c r="B76" s="106" t="s">
        <v>273</v>
      </c>
      <c r="C76" s="92">
        <v>0.4</v>
      </c>
      <c r="D76" s="128"/>
      <c r="E76" s="47"/>
      <c r="F76" s="85"/>
      <c r="G76" s="129"/>
      <c r="H76" s="52"/>
      <c r="I76" s="119"/>
      <c r="J76" s="44" t="s">
        <v>290</v>
      </c>
      <c r="K76" s="24">
        <v>5</v>
      </c>
      <c r="L76" s="56" t="s">
        <v>271</v>
      </c>
      <c r="M76" s="47">
        <v>15</v>
      </c>
      <c r="N76" s="49" t="s">
        <v>78</v>
      </c>
      <c r="O76" s="34" t="s">
        <v>75</v>
      </c>
      <c r="P76" s="35">
        <f>C75/35+E79/35+G78/35+K52*0.65/35</f>
        <v>3.1357142857142857</v>
      </c>
      <c r="Q76" s="36" t="s">
        <v>69</v>
      </c>
      <c r="R76" s="37" t="s">
        <v>76</v>
      </c>
      <c r="S76" s="38">
        <f>P75*15+P77*5+P78*15+P79*12</f>
        <v>121.67307692307692</v>
      </c>
      <c r="T76" s="36" t="s">
        <v>77</v>
      </c>
      <c r="U76" s="39">
        <f>S76*4/S75</f>
        <v>0.54343098092795172</v>
      </c>
      <c r="W76" s="49" t="s">
        <v>78</v>
      </c>
      <c r="X76" s="34" t="s">
        <v>75</v>
      </c>
      <c r="Y76" s="35">
        <f>C75*0.6/40+E75/40+M78/35</f>
        <v>2.8214285714285712</v>
      </c>
      <c r="Z76" s="36" t="s">
        <v>69</v>
      </c>
      <c r="AA76" s="37" t="s">
        <v>76</v>
      </c>
      <c r="AB76" s="38">
        <f>Y75*15+Y77*5+Y78*15+Y79*12</f>
        <v>120.9</v>
      </c>
      <c r="AC76" s="36" t="s">
        <v>77</v>
      </c>
      <c r="AD76" s="39">
        <f>AB76*4/AB75</f>
        <v>0.55953811493903294</v>
      </c>
    </row>
    <row r="77" spans="1:30" ht="16.149999999999999" customHeight="1">
      <c r="A77" s="241"/>
      <c r="B77" s="56"/>
      <c r="C77" s="51"/>
      <c r="D77" s="45"/>
      <c r="E77" s="47"/>
      <c r="F77" s="45"/>
      <c r="G77" s="46"/>
      <c r="H77" s="32"/>
      <c r="I77" s="47"/>
      <c r="J77" s="106"/>
      <c r="K77" s="92"/>
      <c r="L77" s="32" t="s">
        <v>268</v>
      </c>
      <c r="M77" s="47">
        <v>5</v>
      </c>
      <c r="N77" s="33">
        <f>S77</f>
        <v>28.178571428571431</v>
      </c>
      <c r="O77" s="50" t="s">
        <v>79</v>
      </c>
      <c r="P77" s="35">
        <f>(E76+E80+G75+G76+G77+I75+K51)/100</f>
        <v>1.95</v>
      </c>
      <c r="Q77" s="36" t="s">
        <v>69</v>
      </c>
      <c r="R77" s="37" t="s">
        <v>80</v>
      </c>
      <c r="S77" s="38">
        <f>P76*5+P79*4+P80*5</f>
        <v>28.178571428571431</v>
      </c>
      <c r="T77" s="36" t="s">
        <v>77</v>
      </c>
      <c r="U77" s="39">
        <f>S77*9/S75</f>
        <v>0.28317270734495031</v>
      </c>
      <c r="W77" s="33">
        <f>AB77</f>
        <v>26.107142857142854</v>
      </c>
      <c r="X77" s="50" t="s">
        <v>79</v>
      </c>
      <c r="Y77" s="35">
        <f>(M76+M77+M79+M805+I75)/100</f>
        <v>1.68</v>
      </c>
      <c r="Z77" s="36" t="s">
        <v>69</v>
      </c>
      <c r="AA77" s="37" t="s">
        <v>80</v>
      </c>
      <c r="AB77" s="38">
        <f>Y76*5+Y79*4+Y80*5</f>
        <v>26.107142857142854</v>
      </c>
      <c r="AC77" s="36" t="s">
        <v>77</v>
      </c>
      <c r="AD77" s="39">
        <f>AB77*9/AB75</f>
        <v>0.2718599534875264</v>
      </c>
    </row>
    <row r="78" spans="1:30" ht="16.149999999999999" customHeight="1">
      <c r="A78" s="241"/>
      <c r="B78" s="56"/>
      <c r="C78" s="51"/>
      <c r="D78" s="128"/>
      <c r="E78" s="46"/>
      <c r="F78" s="45"/>
      <c r="G78" s="46"/>
      <c r="H78" s="62"/>
      <c r="I78" s="63"/>
      <c r="J78" s="128"/>
      <c r="K78" s="132"/>
      <c r="L78" s="32" t="s">
        <v>257</v>
      </c>
      <c r="M78" s="47">
        <v>20</v>
      </c>
      <c r="N78" s="49" t="s">
        <v>83</v>
      </c>
      <c r="O78" s="58" t="s">
        <v>81</v>
      </c>
      <c r="P78" s="59">
        <v>0</v>
      </c>
      <c r="Q78" s="36" t="s">
        <v>69</v>
      </c>
      <c r="R78" s="37" t="s">
        <v>82</v>
      </c>
      <c r="S78" s="38">
        <f>P75*2+P76*7+P77*1+P79*8</f>
        <v>38.823076923076925</v>
      </c>
      <c r="T78" s="36" t="s">
        <v>77</v>
      </c>
      <c r="U78" s="39">
        <f>S78*4/S75</f>
        <v>0.17339631172709799</v>
      </c>
      <c r="W78" s="49" t="s">
        <v>83</v>
      </c>
      <c r="X78" s="64" t="s">
        <v>81</v>
      </c>
      <c r="Y78" s="59">
        <v>0</v>
      </c>
      <c r="Z78" s="36" t="s">
        <v>69</v>
      </c>
      <c r="AA78" s="37" t="s">
        <v>82</v>
      </c>
      <c r="AB78" s="38">
        <f>Y75*2+Y76*7+Y77*1+Y79*8</f>
        <v>36.43</v>
      </c>
      <c r="AC78" s="36" t="s">
        <v>77</v>
      </c>
      <c r="AD78" s="39">
        <f>AB78*4/AB75</f>
        <v>0.16860193157344061</v>
      </c>
    </row>
    <row r="79" spans="1:30" ht="16.149999999999999" customHeight="1">
      <c r="A79" s="241" t="s">
        <v>99</v>
      </c>
      <c r="B79" s="45"/>
      <c r="C79" s="46"/>
      <c r="D79" s="45"/>
      <c r="E79" s="46"/>
      <c r="F79" s="27"/>
      <c r="G79" s="46"/>
      <c r="H79" s="44"/>
      <c r="I79" s="121"/>
      <c r="L79" s="32" t="s">
        <v>292</v>
      </c>
      <c r="M79" s="47">
        <v>8</v>
      </c>
      <c r="N79" s="33">
        <f>S78</f>
        <v>38.823076923076925</v>
      </c>
      <c r="O79" s="64" t="s">
        <v>84</v>
      </c>
      <c r="P79" s="59">
        <v>0</v>
      </c>
      <c r="Q79" s="36" t="s">
        <v>69</v>
      </c>
      <c r="R79" s="65"/>
      <c r="S79" s="65"/>
      <c r="T79" s="65"/>
      <c r="U79" s="66">
        <f>SUM(U76:U78)</f>
        <v>1</v>
      </c>
      <c r="W79" s="33">
        <f>AB78</f>
        <v>36.43</v>
      </c>
      <c r="X79" s="64" t="s">
        <v>84</v>
      </c>
      <c r="Y79" s="59">
        <v>0</v>
      </c>
      <c r="Z79" s="36" t="s">
        <v>69</v>
      </c>
      <c r="AA79" s="65"/>
      <c r="AB79" s="65"/>
      <c r="AC79" s="65"/>
      <c r="AD79" s="66">
        <f>SUM(AD76:AD78)</f>
        <v>1</v>
      </c>
    </row>
    <row r="80" spans="1:30" ht="16.149999999999999" customHeight="1">
      <c r="A80" s="241"/>
      <c r="B80" s="55"/>
      <c r="C80" s="46"/>
      <c r="D80" s="62"/>
      <c r="E80" s="63"/>
      <c r="F80" s="55"/>
      <c r="G80" s="46"/>
      <c r="H80" s="44"/>
      <c r="I80" s="121"/>
      <c r="L80" s="56" t="s">
        <v>269</v>
      </c>
      <c r="M80" s="47">
        <v>2</v>
      </c>
      <c r="N80" s="49" t="s">
        <v>87</v>
      </c>
      <c r="O80" s="70" t="s">
        <v>86</v>
      </c>
      <c r="P80" s="59">
        <v>2.5</v>
      </c>
      <c r="Q80" s="36" t="s">
        <v>69</v>
      </c>
      <c r="R80" s="71"/>
      <c r="S80" s="71"/>
      <c r="T80" s="71"/>
      <c r="U80" s="72"/>
      <c r="W80" s="49" t="s">
        <v>87</v>
      </c>
      <c r="X80" s="70" t="s">
        <v>86</v>
      </c>
      <c r="Y80" s="59">
        <v>2.4</v>
      </c>
      <c r="Z80" s="36" t="s">
        <v>69</v>
      </c>
      <c r="AA80" s="71"/>
      <c r="AB80" s="71"/>
      <c r="AC80" s="71"/>
      <c r="AD80" s="72"/>
    </row>
    <row r="81" spans="1:30" ht="16.149999999999999" customHeight="1" thickBot="1">
      <c r="A81" s="242"/>
      <c r="B81" s="234" t="s">
        <v>95</v>
      </c>
      <c r="C81" s="235"/>
      <c r="D81" s="257" t="s">
        <v>193</v>
      </c>
      <c r="E81" s="235"/>
      <c r="F81" s="234" t="s">
        <v>196</v>
      </c>
      <c r="G81" s="235"/>
      <c r="H81" s="234" t="s">
        <v>96</v>
      </c>
      <c r="I81" s="235"/>
      <c r="J81" s="234" t="s">
        <v>94</v>
      </c>
      <c r="K81" s="235"/>
      <c r="L81" s="234" t="s">
        <v>200</v>
      </c>
      <c r="M81" s="235"/>
      <c r="N81" s="80">
        <f>P81</f>
        <v>895.59175824175827</v>
      </c>
      <c r="O81" s="75" t="s">
        <v>88</v>
      </c>
      <c r="P81" s="76">
        <f>P75*68+P76*73+P77*24+P78*60+P79*112+P80*45</f>
        <v>895.59175824175827</v>
      </c>
      <c r="Q81" s="77" t="s">
        <v>71</v>
      </c>
      <c r="R81" s="78"/>
      <c r="S81" s="78"/>
      <c r="T81" s="78"/>
      <c r="U81" s="79"/>
      <c r="W81" s="80">
        <f>Y81</f>
        <v>864.28428571428572</v>
      </c>
      <c r="X81" s="75" t="s">
        <v>88</v>
      </c>
      <c r="Y81" s="76">
        <f>Y75*68+Y76*73+Y77*24+Y78*60+Y79*112+Y80*45</f>
        <v>864.28428571428572</v>
      </c>
      <c r="Z81" s="77" t="s">
        <v>71</v>
      </c>
      <c r="AA81" s="78"/>
      <c r="AB81" s="78"/>
      <c r="AC81" s="78"/>
      <c r="AD81" s="79"/>
    </row>
    <row r="82" spans="1:30" ht="16.149999999999999" customHeight="1" thickBot="1">
      <c r="A82" s="251">
        <f>A74+1</f>
        <v>43931</v>
      </c>
      <c r="B82" s="255"/>
      <c r="C82" s="256"/>
      <c r="D82" s="255"/>
      <c r="E82" s="256"/>
      <c r="F82" s="255"/>
      <c r="G82" s="256"/>
      <c r="H82" s="243"/>
      <c r="I82" s="254"/>
      <c r="J82" s="243"/>
      <c r="K82" s="244"/>
      <c r="L82" s="243"/>
      <c r="M82" s="244"/>
      <c r="N82" s="16" t="s">
        <v>67</v>
      </c>
      <c r="O82" s="245" t="s">
        <v>73</v>
      </c>
      <c r="P82" s="246"/>
      <c r="Q82" s="247"/>
      <c r="R82" s="248" t="s">
        <v>74</v>
      </c>
      <c r="S82" s="249"/>
      <c r="T82" s="249"/>
      <c r="U82" s="250"/>
      <c r="W82" s="16" t="s">
        <v>67</v>
      </c>
      <c r="X82" s="245" t="s">
        <v>73</v>
      </c>
      <c r="Y82" s="246"/>
      <c r="Z82" s="247"/>
      <c r="AA82" s="248" t="s">
        <v>74</v>
      </c>
      <c r="AB82" s="249"/>
      <c r="AC82" s="249"/>
      <c r="AD82" s="250"/>
    </row>
    <row r="83" spans="1:30" ht="16.149999999999999" customHeight="1">
      <c r="A83" s="241"/>
      <c r="B83" s="45"/>
      <c r="C83" s="47"/>
      <c r="D83" s="103"/>
      <c r="E83" s="140"/>
      <c r="F83" s="55"/>
      <c r="G83" s="46"/>
      <c r="H83" s="41"/>
      <c r="I83" s="28"/>
      <c r="J83" s="25"/>
      <c r="K83" s="26"/>
      <c r="L83" s="125"/>
      <c r="M83" s="26"/>
      <c r="N83" s="33" t="e">
        <f>S84</f>
        <v>#REF!</v>
      </c>
      <c r="O83" s="17" t="s">
        <v>68</v>
      </c>
      <c r="P83" s="59">
        <f>E83/65+E85/45+E86/90+M83/20</f>
        <v>0</v>
      </c>
      <c r="Q83" s="19" t="s">
        <v>69</v>
      </c>
      <c r="R83" s="86" t="s">
        <v>70</v>
      </c>
      <c r="S83" s="87" t="e">
        <f>P89</f>
        <v>#REF!</v>
      </c>
      <c r="T83" s="88" t="s">
        <v>71</v>
      </c>
      <c r="U83" s="89" t="s">
        <v>72</v>
      </c>
      <c r="W83" s="33">
        <f>AB84</f>
        <v>0</v>
      </c>
      <c r="X83" s="17" t="s">
        <v>68</v>
      </c>
      <c r="Y83" s="18">
        <f>M83/20+M84/20+G83/60+K83/85+K85/90</f>
        <v>0</v>
      </c>
      <c r="Z83" s="19" t="s">
        <v>69</v>
      </c>
      <c r="AA83" s="86" t="s">
        <v>70</v>
      </c>
      <c r="AB83" s="87">
        <f>Y89</f>
        <v>108</v>
      </c>
      <c r="AC83" s="88" t="s">
        <v>71</v>
      </c>
      <c r="AD83" s="89" t="s">
        <v>72</v>
      </c>
    </row>
    <row r="84" spans="1:30" ht="16.149999999999999" customHeight="1">
      <c r="A84" s="241"/>
      <c r="B84" s="45"/>
      <c r="C84" s="47"/>
      <c r="D84" s="112"/>
      <c r="E84" s="141"/>
      <c r="F84" s="85"/>
      <c r="G84" s="129"/>
      <c r="H84" s="56"/>
      <c r="I84" s="47"/>
      <c r="J84" s="45"/>
      <c r="K84" s="46"/>
      <c r="L84" s="32"/>
      <c r="M84" s="47"/>
      <c r="N84" s="49" t="s">
        <v>78</v>
      </c>
      <c r="O84" s="34" t="s">
        <v>75</v>
      </c>
      <c r="P84" s="35" t="e">
        <f>C83/35+E87/35+#REF!/35+#REF!*0.65/35</f>
        <v>#REF!</v>
      </c>
      <c r="Q84" s="36" t="s">
        <v>69</v>
      </c>
      <c r="R84" s="37" t="s">
        <v>76</v>
      </c>
      <c r="S84" s="38" t="e">
        <f>P83*15+P85*5+P86*15+P87*12</f>
        <v>#REF!</v>
      </c>
      <c r="T84" s="36" t="s">
        <v>77</v>
      </c>
      <c r="U84" s="39" t="e">
        <f>S84*4/S83</f>
        <v>#REF!</v>
      </c>
      <c r="W84" s="49" t="s">
        <v>78</v>
      </c>
      <c r="X84" s="34" t="s">
        <v>75</v>
      </c>
      <c r="Y84" s="35">
        <f>C83/35+E83/55+K84/55</f>
        <v>0</v>
      </c>
      <c r="Z84" s="36" t="s">
        <v>69</v>
      </c>
      <c r="AA84" s="37" t="s">
        <v>76</v>
      </c>
      <c r="AB84" s="38">
        <f>Y83*15+Y85*5+Y86*15+Y87*12</f>
        <v>0</v>
      </c>
      <c r="AC84" s="36" t="s">
        <v>77</v>
      </c>
      <c r="AD84" s="39">
        <f>AB84*4/AB83</f>
        <v>0</v>
      </c>
    </row>
    <row r="85" spans="1:30" ht="16.149999999999999" customHeight="1">
      <c r="A85" s="241"/>
      <c r="B85" s="56"/>
      <c r="C85" s="47"/>
      <c r="D85" s="112"/>
      <c r="E85" s="141"/>
      <c r="F85" s="45"/>
      <c r="G85" s="46"/>
      <c r="H85" s="56"/>
      <c r="I85" s="47"/>
      <c r="J85" s="67"/>
      <c r="K85" s="24"/>
      <c r="L85" s="45"/>
      <c r="M85" s="57"/>
      <c r="N85" s="33" t="e">
        <f>S85</f>
        <v>#REF!</v>
      </c>
      <c r="O85" s="50" t="s">
        <v>79</v>
      </c>
      <c r="P85" s="35" t="e">
        <f>(E84+E88+G83+G84+G85+I83+#REF!)/100</f>
        <v>#REF!</v>
      </c>
      <c r="Q85" s="36" t="s">
        <v>69</v>
      </c>
      <c r="R85" s="37" t="s">
        <v>80</v>
      </c>
      <c r="S85" s="38" t="e">
        <f>P84*5+P87*4+P88*5</f>
        <v>#REF!</v>
      </c>
      <c r="T85" s="36" t="s">
        <v>77</v>
      </c>
      <c r="U85" s="39" t="e">
        <f>S85*9/S83</f>
        <v>#REF!</v>
      </c>
      <c r="W85" s="33">
        <f>AB85</f>
        <v>12</v>
      </c>
      <c r="X85" s="50" t="s">
        <v>79</v>
      </c>
      <c r="Y85" s="35">
        <f>(C84+C85+C86+E84+E85+I83)/100</f>
        <v>0</v>
      </c>
      <c r="Z85" s="36" t="s">
        <v>69</v>
      </c>
      <c r="AA85" s="37" t="s">
        <v>80</v>
      </c>
      <c r="AB85" s="38">
        <f>Y84*5+Y87*4+Y88*5</f>
        <v>12</v>
      </c>
      <c r="AC85" s="36" t="s">
        <v>77</v>
      </c>
      <c r="AD85" s="39">
        <f>AB85*9/AB83</f>
        <v>1</v>
      </c>
    </row>
    <row r="86" spans="1:30" ht="16.149999999999999" customHeight="1">
      <c r="A86" s="241"/>
      <c r="B86" s="45"/>
      <c r="C86" s="46"/>
      <c r="D86" s="56"/>
      <c r="E86" s="47"/>
      <c r="F86" s="45"/>
      <c r="G86" s="46"/>
      <c r="H86" s="32"/>
      <c r="I86" s="47"/>
      <c r="J86" s="142"/>
      <c r="K86" s="63"/>
      <c r="L86" s="56"/>
      <c r="M86" s="120"/>
      <c r="N86" s="49" t="s">
        <v>83</v>
      </c>
      <c r="O86" s="58" t="s">
        <v>81</v>
      </c>
      <c r="P86" s="59">
        <v>0</v>
      </c>
      <c r="Q86" s="36" t="s">
        <v>69</v>
      </c>
      <c r="R86" s="37" t="s">
        <v>82</v>
      </c>
      <c r="S86" s="38" t="e">
        <f>P83*2+P84*7+P85*1+P87*8</f>
        <v>#REF!</v>
      </c>
      <c r="T86" s="36" t="s">
        <v>77</v>
      </c>
      <c r="U86" s="39" t="e">
        <f>S86*4/S83</f>
        <v>#REF!</v>
      </c>
      <c r="W86" s="49" t="s">
        <v>83</v>
      </c>
      <c r="X86" s="64" t="s">
        <v>81</v>
      </c>
      <c r="Y86" s="59">
        <v>0</v>
      </c>
      <c r="Z86" s="36" t="s">
        <v>69</v>
      </c>
      <c r="AA86" s="37" t="s">
        <v>82</v>
      </c>
      <c r="AB86" s="38">
        <f>Y83*2+Y84*7+Y85*1+Y87*8</f>
        <v>0</v>
      </c>
      <c r="AC86" s="36" t="s">
        <v>77</v>
      </c>
      <c r="AD86" s="39">
        <f>AB86*4/AB83</f>
        <v>0</v>
      </c>
    </row>
    <row r="87" spans="1:30" ht="16.149999999999999" customHeight="1">
      <c r="A87" s="241" t="s">
        <v>101</v>
      </c>
      <c r="B87" s="143"/>
      <c r="C87" s="129"/>
      <c r="D87" s="32"/>
      <c r="E87" s="47"/>
      <c r="F87" s="27"/>
      <c r="G87" s="46"/>
      <c r="H87" s="32"/>
      <c r="I87" s="47"/>
      <c r="J87" s="55"/>
      <c r="K87" s="47"/>
      <c r="L87" s="56"/>
      <c r="M87" s="120"/>
      <c r="N87" s="33" t="e">
        <f>S86</f>
        <v>#REF!</v>
      </c>
      <c r="O87" s="64" t="s">
        <v>84</v>
      </c>
      <c r="P87" s="59">
        <v>0</v>
      </c>
      <c r="Q87" s="36" t="s">
        <v>69</v>
      </c>
      <c r="R87" s="65"/>
      <c r="S87" s="65"/>
      <c r="T87" s="65"/>
      <c r="U87" s="66" t="e">
        <f>SUM(U84:U86)</f>
        <v>#REF!</v>
      </c>
      <c r="W87" s="33">
        <f>AB86</f>
        <v>0</v>
      </c>
      <c r="X87" s="64" t="s">
        <v>84</v>
      </c>
      <c r="Y87" s="59">
        <v>0</v>
      </c>
      <c r="Z87" s="36" t="s">
        <v>69</v>
      </c>
      <c r="AA87" s="65"/>
      <c r="AB87" s="65"/>
      <c r="AC87" s="65"/>
      <c r="AD87" s="66">
        <f>SUM(AD84:AD86)</f>
        <v>1</v>
      </c>
    </row>
    <row r="88" spans="1:30" ht="16.149999999999999" customHeight="1">
      <c r="A88" s="241"/>
      <c r="B88" s="55"/>
      <c r="C88" s="46"/>
      <c r="D88" s="32"/>
      <c r="E88" s="47"/>
      <c r="F88" s="55"/>
      <c r="G88" s="98"/>
      <c r="H88" s="126"/>
      <c r="I88" s="57"/>
      <c r="J88" s="52"/>
      <c r="K88" s="119"/>
      <c r="L88" s="56"/>
      <c r="M88" s="120"/>
      <c r="N88" s="49" t="s">
        <v>87</v>
      </c>
      <c r="O88" s="70" t="s">
        <v>86</v>
      </c>
      <c r="P88" s="59">
        <v>2.5</v>
      </c>
      <c r="Q88" s="36" t="s">
        <v>69</v>
      </c>
      <c r="R88" s="71"/>
      <c r="S88" s="71"/>
      <c r="T88" s="71"/>
      <c r="U88" s="72"/>
      <c r="W88" s="49" t="s">
        <v>87</v>
      </c>
      <c r="X88" s="70" t="s">
        <v>86</v>
      </c>
      <c r="Y88" s="59">
        <v>2.4</v>
      </c>
      <c r="Z88" s="36" t="s">
        <v>69</v>
      </c>
      <c r="AA88" s="71"/>
      <c r="AB88" s="71"/>
      <c r="AC88" s="71"/>
      <c r="AD88" s="72"/>
    </row>
    <row r="89" spans="1:30" ht="16.149999999999999" customHeight="1" thickBot="1">
      <c r="A89" s="242"/>
      <c r="B89" s="234"/>
      <c r="C89" s="235"/>
      <c r="D89" s="234"/>
      <c r="E89" s="235"/>
      <c r="F89" s="234"/>
      <c r="G89" s="235"/>
      <c r="H89" s="234"/>
      <c r="I89" s="235"/>
      <c r="J89" s="234"/>
      <c r="K89" s="235"/>
      <c r="L89" s="234"/>
      <c r="M89" s="235"/>
      <c r="N89" s="80" t="e">
        <f>P89</f>
        <v>#REF!</v>
      </c>
      <c r="O89" s="75" t="s">
        <v>88</v>
      </c>
      <c r="P89" s="76" t="e">
        <f>P83*68+P84*73+P85*24+P86*60+P87*112+P88*45</f>
        <v>#REF!</v>
      </c>
      <c r="Q89" s="77" t="s">
        <v>71</v>
      </c>
      <c r="R89" s="78"/>
      <c r="S89" s="78"/>
      <c r="T89" s="78"/>
      <c r="U89" s="79"/>
      <c r="W89" s="80">
        <f>Y89</f>
        <v>108</v>
      </c>
      <c r="X89" s="75" t="s">
        <v>88</v>
      </c>
      <c r="Y89" s="76">
        <f>Y83*68+Y84*73+Y85*24+Y86*60+Y87*112+Y88*45</f>
        <v>108</v>
      </c>
      <c r="Z89" s="77" t="s">
        <v>71</v>
      </c>
      <c r="AA89" s="78"/>
      <c r="AB89" s="78"/>
      <c r="AC89" s="78"/>
      <c r="AD89" s="79"/>
    </row>
    <row r="90" spans="1:30">
      <c r="A90" s="236" t="s">
        <v>102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</row>
    <row r="91" spans="1:30" ht="16.149999999999999" customHeight="1">
      <c r="A91" s="238" t="s">
        <v>103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</row>
    <row r="92" spans="1:30">
      <c r="A92" s="239" t="s">
        <v>104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</row>
    <row r="93" spans="1:30" ht="16.149999999999999" customHeight="1">
      <c r="A93" s="240" t="s">
        <v>105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</row>
    <row r="94" spans="1:30">
      <c r="A94" s="233" t="s">
        <v>106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</row>
    <row r="95" spans="1:30" ht="22.6" thickBot="1">
      <c r="A95" s="266" t="s">
        <v>392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</row>
    <row r="96" spans="1:30" ht="32.799999999999997" thickBot="1">
      <c r="A96" s="127" t="s">
        <v>58</v>
      </c>
      <c r="B96" s="15" t="s">
        <v>59</v>
      </c>
      <c r="C96" s="14" t="s">
        <v>60</v>
      </c>
      <c r="D96" s="15" t="s">
        <v>61</v>
      </c>
      <c r="E96" s="14" t="s">
        <v>60</v>
      </c>
      <c r="F96" s="15" t="s">
        <v>61</v>
      </c>
      <c r="G96" s="14" t="s">
        <v>60</v>
      </c>
      <c r="H96" s="15" t="s">
        <v>61</v>
      </c>
      <c r="I96" s="14" t="s">
        <v>60</v>
      </c>
      <c r="J96" s="15" t="s">
        <v>63</v>
      </c>
      <c r="K96" s="14" t="s">
        <v>60</v>
      </c>
      <c r="L96" s="15" t="s">
        <v>64</v>
      </c>
      <c r="M96" s="14" t="s">
        <v>60</v>
      </c>
      <c r="N96" s="14" t="s">
        <v>65</v>
      </c>
      <c r="O96" s="262" t="s">
        <v>66</v>
      </c>
      <c r="P96" s="263"/>
      <c r="Q96" s="263"/>
      <c r="R96" s="263"/>
      <c r="S96" s="263"/>
      <c r="T96" s="263"/>
      <c r="U96" s="264"/>
      <c r="W96" s="14" t="s">
        <v>65</v>
      </c>
      <c r="X96" s="262" t="s">
        <v>66</v>
      </c>
      <c r="Y96" s="263"/>
      <c r="Z96" s="263"/>
      <c r="AA96" s="263"/>
      <c r="AB96" s="263"/>
      <c r="AC96" s="263"/>
      <c r="AD96" s="264"/>
    </row>
    <row r="97" spans="1:30" ht="16.149999999999999" customHeight="1" thickBot="1">
      <c r="A97" s="251">
        <f>A82+3</f>
        <v>43934</v>
      </c>
      <c r="B97" s="255" t="s">
        <v>163</v>
      </c>
      <c r="C97" s="256"/>
      <c r="D97" s="255" t="s">
        <v>203</v>
      </c>
      <c r="E97" s="256"/>
      <c r="F97" s="243" t="s">
        <v>38</v>
      </c>
      <c r="G97" s="244"/>
      <c r="H97" s="243" t="s">
        <v>90</v>
      </c>
      <c r="I97" s="254"/>
      <c r="J97" s="255" t="s">
        <v>413</v>
      </c>
      <c r="K97" s="256"/>
      <c r="L97" s="258" t="s">
        <v>157</v>
      </c>
      <c r="M97" s="259"/>
      <c r="N97" s="16" t="s">
        <v>67</v>
      </c>
      <c r="O97" s="17" t="s">
        <v>68</v>
      </c>
      <c r="P97" s="18">
        <f>C98/65+G98/55+G99/90+K98/20+M98/20+M99/20</f>
        <v>9.4341491841491845</v>
      </c>
      <c r="Q97" s="19" t="s">
        <v>69</v>
      </c>
      <c r="R97" s="20" t="s">
        <v>70</v>
      </c>
      <c r="S97" s="21">
        <f>P103</f>
        <v>884.05372893772892</v>
      </c>
      <c r="T97" s="19" t="s">
        <v>71</v>
      </c>
      <c r="U97" s="22" t="s">
        <v>72</v>
      </c>
      <c r="W97" s="16" t="s">
        <v>67</v>
      </c>
      <c r="X97" s="245" t="s">
        <v>73</v>
      </c>
      <c r="Y97" s="246"/>
      <c r="Z97" s="247"/>
      <c r="AA97" s="248" t="s">
        <v>74</v>
      </c>
      <c r="AB97" s="249"/>
      <c r="AC97" s="249"/>
      <c r="AD97" s="250"/>
    </row>
    <row r="98" spans="1:30" ht="16.149999999999999" customHeight="1">
      <c r="A98" s="241"/>
      <c r="B98" s="41" t="s">
        <v>297</v>
      </c>
      <c r="C98" s="42">
        <v>75</v>
      </c>
      <c r="D98" s="44" t="s">
        <v>299</v>
      </c>
      <c r="E98" s="24">
        <v>50</v>
      </c>
      <c r="F98" s="25" t="s">
        <v>265</v>
      </c>
      <c r="G98" s="26">
        <v>20</v>
      </c>
      <c r="H98" s="29" t="s">
        <v>205</v>
      </c>
      <c r="I98" s="30">
        <v>120</v>
      </c>
      <c r="J98" s="136" t="s">
        <v>414</v>
      </c>
      <c r="K98" s="26">
        <v>15</v>
      </c>
      <c r="L98" s="25" t="s">
        <v>91</v>
      </c>
      <c r="M98" s="26">
        <v>140</v>
      </c>
      <c r="N98" s="33">
        <f>S98</f>
        <v>148.28223776223777</v>
      </c>
      <c r="O98" s="34" t="s">
        <v>75</v>
      </c>
      <c r="P98" s="35">
        <f>C100/55+E98/50+E99/35+K101/35</f>
        <v>1.336103896103896</v>
      </c>
      <c r="Q98" s="36" t="s">
        <v>69</v>
      </c>
      <c r="R98" s="37" t="s">
        <v>76</v>
      </c>
      <c r="S98" s="38">
        <f>P97*15+P99*5+P100*15+P101*12</f>
        <v>148.28223776223777</v>
      </c>
      <c r="T98" s="36" t="s">
        <v>77</v>
      </c>
      <c r="U98" s="39">
        <f>S98*4/S97</f>
        <v>0.67091957381555256</v>
      </c>
      <c r="W98" s="33">
        <f>AB99</f>
        <v>123.92857142857143</v>
      </c>
      <c r="X98" s="40" t="s">
        <v>68</v>
      </c>
      <c r="Y98" s="18">
        <f>M98/20+G101/2/30+G99/35</f>
        <v>7.6785714285714288</v>
      </c>
      <c r="Z98" s="19" t="s">
        <v>69</v>
      </c>
      <c r="AA98" s="20" t="s">
        <v>70</v>
      </c>
      <c r="AB98" s="21">
        <f>Y104</f>
        <v>885.28863636363633</v>
      </c>
      <c r="AC98" s="19" t="s">
        <v>71</v>
      </c>
      <c r="AD98" s="22" t="s">
        <v>72</v>
      </c>
    </row>
    <row r="99" spans="1:30" ht="16.149999999999999" customHeight="1">
      <c r="A99" s="241"/>
      <c r="B99" s="106" t="s">
        <v>273</v>
      </c>
      <c r="C99" s="107">
        <v>0.4</v>
      </c>
      <c r="D99" s="56" t="s">
        <v>300</v>
      </c>
      <c r="E99" s="47">
        <v>5</v>
      </c>
      <c r="F99" s="56" t="s">
        <v>301</v>
      </c>
      <c r="G99" s="47">
        <v>15</v>
      </c>
      <c r="H99" s="45"/>
      <c r="I99" s="48"/>
      <c r="J99" s="69" t="s">
        <v>402</v>
      </c>
      <c r="K99" s="46">
        <v>5</v>
      </c>
      <c r="L99" s="56"/>
      <c r="M99" s="47"/>
      <c r="N99" s="49" t="s">
        <v>78</v>
      </c>
      <c r="O99" s="50" t="s">
        <v>79</v>
      </c>
      <c r="P99" s="35">
        <f>(C99+I98+K99+K100+K102)/100</f>
        <v>1.3540000000000001</v>
      </c>
      <c r="Q99" s="36" t="s">
        <v>69</v>
      </c>
      <c r="R99" s="37" t="s">
        <v>80</v>
      </c>
      <c r="S99" s="38">
        <f>P98*5+P101*4+P102*5</f>
        <v>19.180519480519479</v>
      </c>
      <c r="T99" s="36" t="s">
        <v>77</v>
      </c>
      <c r="U99" s="39">
        <f>S99*9/S97</f>
        <v>0.19526491396863355</v>
      </c>
      <c r="W99" s="49" t="s">
        <v>78</v>
      </c>
      <c r="X99" s="34" t="s">
        <v>75</v>
      </c>
      <c r="Y99" s="35">
        <f>C98*0.6/30+E98/55+G101/2/35+K100*0.6/35+E99/40</f>
        <v>2.9198051948051948</v>
      </c>
      <c r="Z99" s="36" t="s">
        <v>69</v>
      </c>
      <c r="AA99" s="37" t="s">
        <v>76</v>
      </c>
      <c r="AB99" s="38">
        <f>Y98*15+Y100*5+Y101*15+Y102*12</f>
        <v>123.92857142857143</v>
      </c>
      <c r="AC99" s="36" t="s">
        <v>77</v>
      </c>
      <c r="AD99" s="39">
        <f>AB99*4/AB98</f>
        <v>0.55994651388552197</v>
      </c>
    </row>
    <row r="100" spans="1:30" ht="16.149999999999999" customHeight="1">
      <c r="A100" s="241"/>
      <c r="B100" s="56" t="s">
        <v>259</v>
      </c>
      <c r="C100" s="51">
        <v>10</v>
      </c>
      <c r="D100" s="62" t="s">
        <v>399</v>
      </c>
      <c r="E100" s="63">
        <v>2</v>
      </c>
      <c r="F100" s="45" t="s">
        <v>302</v>
      </c>
      <c r="G100" s="46">
        <v>1</v>
      </c>
      <c r="H100" s="55"/>
      <c r="I100" s="46"/>
      <c r="J100" s="128" t="s">
        <v>408</v>
      </c>
      <c r="K100" s="51">
        <v>10</v>
      </c>
      <c r="L100" s="32"/>
      <c r="M100" s="47"/>
      <c r="N100" s="33">
        <f>S99</f>
        <v>19.180519480519479</v>
      </c>
      <c r="O100" s="58" t="s">
        <v>81</v>
      </c>
      <c r="P100" s="59">
        <v>0</v>
      </c>
      <c r="Q100" s="36" t="s">
        <v>69</v>
      </c>
      <c r="R100" s="37" t="s">
        <v>82</v>
      </c>
      <c r="S100" s="38">
        <f>P97*2+P98*7+P99*1+P101*8</f>
        <v>29.57502564102564</v>
      </c>
      <c r="T100" s="36" t="s">
        <v>77</v>
      </c>
      <c r="U100" s="39">
        <f>S100*4/S97</f>
        <v>0.13381551221581398</v>
      </c>
      <c r="W100" s="33">
        <f>AB100</f>
        <v>26.599025974025974</v>
      </c>
      <c r="X100" s="50" t="s">
        <v>109</v>
      </c>
      <c r="Y100" s="35">
        <f>(C100+C101+E100+G98+G100+I98+K99+K98)/100</f>
        <v>1.75</v>
      </c>
      <c r="Z100" s="36" t="s">
        <v>110</v>
      </c>
      <c r="AA100" s="37" t="s">
        <v>111</v>
      </c>
      <c r="AB100" s="38">
        <f>Y99*5+Y102*4+Y103*5</f>
        <v>26.599025974025974</v>
      </c>
      <c r="AC100" s="36" t="s">
        <v>112</v>
      </c>
      <c r="AD100" s="39">
        <f>AB100*9/AB98</f>
        <v>0.27041037683432179</v>
      </c>
    </row>
    <row r="101" spans="1:30" ht="16.149999999999999" customHeight="1">
      <c r="A101" s="241"/>
      <c r="B101" s="45" t="s">
        <v>298</v>
      </c>
      <c r="C101" s="51">
        <v>2</v>
      </c>
      <c r="D101" s="56"/>
      <c r="E101" s="63"/>
      <c r="F101" s="45" t="s">
        <v>303</v>
      </c>
      <c r="G101" s="47">
        <v>15</v>
      </c>
      <c r="H101" s="55"/>
      <c r="I101" s="46"/>
      <c r="J101" s="160" t="s">
        <v>409</v>
      </c>
      <c r="K101" s="107">
        <v>0.4</v>
      </c>
      <c r="L101" s="62"/>
      <c r="M101" s="63"/>
      <c r="N101" s="49" t="s">
        <v>113</v>
      </c>
      <c r="O101" s="64" t="s">
        <v>84</v>
      </c>
      <c r="P101" s="59">
        <v>0</v>
      </c>
      <c r="Q101" s="36" t="s">
        <v>110</v>
      </c>
      <c r="R101" s="65"/>
      <c r="S101" s="65"/>
      <c r="T101" s="65"/>
      <c r="U101" s="66">
        <f>SUM(U98:U100)</f>
        <v>1</v>
      </c>
      <c r="W101" s="49" t="s">
        <v>113</v>
      </c>
      <c r="X101" s="64" t="s">
        <v>114</v>
      </c>
      <c r="Y101" s="59">
        <v>0</v>
      </c>
      <c r="Z101" s="36" t="s">
        <v>110</v>
      </c>
      <c r="AA101" s="37" t="s">
        <v>115</v>
      </c>
      <c r="AB101" s="38">
        <f>Y98*2+Y99*7+Y100*1+Y102*8</f>
        <v>37.545779220779224</v>
      </c>
      <c r="AC101" s="36" t="s">
        <v>112</v>
      </c>
      <c r="AD101" s="39">
        <f>AB101*4/AB98</f>
        <v>0.16964310928015627</v>
      </c>
    </row>
    <row r="102" spans="1:30" ht="16.149999999999999" customHeight="1">
      <c r="A102" s="241" t="s">
        <v>116</v>
      </c>
      <c r="B102" s="44"/>
      <c r="C102" s="24"/>
      <c r="F102" s="56"/>
      <c r="G102" s="51"/>
      <c r="H102" s="55"/>
      <c r="I102" s="46"/>
      <c r="J102" s="69"/>
      <c r="K102" s="47"/>
      <c r="L102" s="55"/>
      <c r="M102" s="47"/>
      <c r="N102" s="33">
        <f>S100</f>
        <v>29.57502564102564</v>
      </c>
      <c r="O102" s="70" t="s">
        <v>86</v>
      </c>
      <c r="P102" s="59">
        <v>2.5</v>
      </c>
      <c r="Q102" s="36" t="s">
        <v>69</v>
      </c>
      <c r="R102" s="71"/>
      <c r="S102" s="71"/>
      <c r="T102" s="71"/>
      <c r="U102" s="72"/>
      <c r="W102" s="33">
        <f>AB101</f>
        <v>37.545779220779224</v>
      </c>
      <c r="X102" s="64" t="s">
        <v>84</v>
      </c>
      <c r="Y102" s="59">
        <v>0</v>
      </c>
      <c r="Z102" s="36" t="s">
        <v>69</v>
      </c>
      <c r="AA102" s="65"/>
      <c r="AB102" s="65"/>
      <c r="AC102" s="65"/>
      <c r="AD102" s="66">
        <f>SUM(AD99:AD101)</f>
        <v>1</v>
      </c>
    </row>
    <row r="103" spans="1:30" ht="16.149999999999999" customHeight="1" thickBot="1">
      <c r="A103" s="241"/>
      <c r="B103" s="32"/>
      <c r="C103" s="47"/>
      <c r="D103" s="44"/>
      <c r="E103" s="24"/>
      <c r="F103" s="95"/>
      <c r="G103" s="99"/>
      <c r="H103" s="55"/>
      <c r="I103" s="46"/>
      <c r="J103" s="73"/>
      <c r="K103" s="74"/>
      <c r="L103" s="32"/>
      <c r="M103" s="47"/>
      <c r="N103" s="49" t="s">
        <v>87</v>
      </c>
      <c r="O103" s="75" t="s">
        <v>88</v>
      </c>
      <c r="P103" s="76">
        <f>P97*68+P98*73+P99*24+P100*60+P101*112+P102*45</f>
        <v>884.05372893772892</v>
      </c>
      <c r="Q103" s="77" t="s">
        <v>71</v>
      </c>
      <c r="R103" s="78"/>
      <c r="S103" s="78"/>
      <c r="T103" s="78"/>
      <c r="U103" s="79"/>
      <c r="W103" s="49" t="s">
        <v>87</v>
      </c>
      <c r="X103" s="70" t="s">
        <v>86</v>
      </c>
      <c r="Y103" s="59">
        <v>2.4</v>
      </c>
      <c r="Z103" s="36" t="s">
        <v>69</v>
      </c>
      <c r="AA103" s="71"/>
      <c r="AB103" s="71"/>
      <c r="AC103" s="71"/>
      <c r="AD103" s="72"/>
    </row>
    <row r="104" spans="1:30" ht="16.149999999999999" customHeight="1" thickBot="1">
      <c r="A104" s="242"/>
      <c r="B104" s="234" t="s">
        <v>180</v>
      </c>
      <c r="C104" s="235"/>
      <c r="D104" s="257" t="s">
        <v>196</v>
      </c>
      <c r="E104" s="235"/>
      <c r="F104" s="234" t="s">
        <v>204</v>
      </c>
      <c r="G104" s="235"/>
      <c r="H104" s="234" t="s">
        <v>96</v>
      </c>
      <c r="I104" s="235"/>
      <c r="J104" s="234" t="s">
        <v>94</v>
      </c>
      <c r="K104" s="235"/>
      <c r="L104" s="234" t="s">
        <v>97</v>
      </c>
      <c r="M104" s="235"/>
      <c r="N104" s="80">
        <f>P103</f>
        <v>884.05372893772892</v>
      </c>
      <c r="O104" s="81"/>
      <c r="P104" s="82"/>
      <c r="Q104" s="82"/>
      <c r="R104" s="82"/>
      <c r="S104" s="82"/>
      <c r="T104" s="82"/>
      <c r="U104" s="83"/>
      <c r="W104" s="80">
        <f>Y104</f>
        <v>885.28863636363633</v>
      </c>
      <c r="X104" s="75" t="s">
        <v>88</v>
      </c>
      <c r="Y104" s="76">
        <f>Y98*68+Y99*73+Y100*24+Y101*60+Y102*112+Y103*45</f>
        <v>885.28863636363633</v>
      </c>
      <c r="Z104" s="77" t="s">
        <v>71</v>
      </c>
      <c r="AA104" s="78"/>
      <c r="AB104" s="78"/>
      <c r="AC104" s="78"/>
      <c r="AD104" s="79"/>
    </row>
    <row r="105" spans="1:30" ht="16.149999999999999" customHeight="1" thickBot="1">
      <c r="A105" s="251">
        <f>A97+1</f>
        <v>43935</v>
      </c>
      <c r="B105" s="243" t="s">
        <v>206</v>
      </c>
      <c r="C105" s="252"/>
      <c r="D105" s="255" t="s">
        <v>306</v>
      </c>
      <c r="E105" s="256"/>
      <c r="F105" s="255" t="s">
        <v>207</v>
      </c>
      <c r="G105" s="256"/>
      <c r="H105" s="243" t="s">
        <v>90</v>
      </c>
      <c r="I105" s="254"/>
      <c r="J105" s="255" t="s">
        <v>174</v>
      </c>
      <c r="K105" s="256"/>
      <c r="L105" s="253" t="s">
        <v>178</v>
      </c>
      <c r="M105" s="244"/>
      <c r="N105" s="16" t="s">
        <v>67</v>
      </c>
      <c r="O105" s="245" t="s">
        <v>73</v>
      </c>
      <c r="P105" s="246"/>
      <c r="Q105" s="247"/>
      <c r="R105" s="248" t="s">
        <v>74</v>
      </c>
      <c r="S105" s="249"/>
      <c r="T105" s="249"/>
      <c r="U105" s="250"/>
      <c r="W105" s="16" t="s">
        <v>67</v>
      </c>
      <c r="X105" s="245" t="s">
        <v>73</v>
      </c>
      <c r="Y105" s="246"/>
      <c r="Z105" s="247"/>
      <c r="AA105" s="248" t="s">
        <v>74</v>
      </c>
      <c r="AB105" s="249"/>
      <c r="AC105" s="249"/>
      <c r="AD105" s="250"/>
    </row>
    <row r="106" spans="1:30" ht="16.149999999999999" customHeight="1">
      <c r="A106" s="241"/>
      <c r="B106" s="45" t="s">
        <v>304</v>
      </c>
      <c r="C106" s="47">
        <v>65</v>
      </c>
      <c r="D106" s="41" t="s">
        <v>299</v>
      </c>
      <c r="E106" s="28">
        <v>45</v>
      </c>
      <c r="F106" s="56" t="s">
        <v>282</v>
      </c>
      <c r="G106" s="28">
        <v>20</v>
      </c>
      <c r="H106" s="85" t="s">
        <v>186</v>
      </c>
      <c r="I106" s="30">
        <v>120</v>
      </c>
      <c r="J106" s="136" t="s">
        <v>271</v>
      </c>
      <c r="K106" s="26">
        <v>15</v>
      </c>
      <c r="L106" s="32" t="s">
        <v>91</v>
      </c>
      <c r="M106" s="26">
        <v>120</v>
      </c>
      <c r="N106" s="33" t="e">
        <f>S107</f>
        <v>#REF!</v>
      </c>
      <c r="O106" s="17" t="s">
        <v>68</v>
      </c>
      <c r="P106" s="59">
        <f>G106/20+M106/20+M107/55</f>
        <v>7.4545454545454541</v>
      </c>
      <c r="Q106" s="19" t="s">
        <v>69</v>
      </c>
      <c r="R106" s="86" t="s">
        <v>70</v>
      </c>
      <c r="S106" s="87" t="e">
        <f>P112</f>
        <v>#REF!</v>
      </c>
      <c r="T106" s="88" t="s">
        <v>71</v>
      </c>
      <c r="U106" s="89" t="s">
        <v>72</v>
      </c>
      <c r="W106" s="33">
        <f>AB107</f>
        <v>121.63571428571427</v>
      </c>
      <c r="X106" s="17" t="s">
        <v>68</v>
      </c>
      <c r="Y106" s="18">
        <f>M106/20+M107/20+G106/70</f>
        <v>7.5357142857142856</v>
      </c>
      <c r="Z106" s="19" t="s">
        <v>69</v>
      </c>
      <c r="AA106" s="86" t="s">
        <v>70</v>
      </c>
      <c r="AB106" s="87">
        <f>Y112</f>
        <v>877.86441558441561</v>
      </c>
      <c r="AC106" s="88" t="s">
        <v>71</v>
      </c>
      <c r="AD106" s="89" t="s">
        <v>72</v>
      </c>
    </row>
    <row r="107" spans="1:30" ht="16.149999999999999" customHeight="1">
      <c r="A107" s="241"/>
      <c r="B107" s="45" t="s">
        <v>305</v>
      </c>
      <c r="C107" s="47">
        <v>1</v>
      </c>
      <c r="D107" s="56" t="s">
        <v>400</v>
      </c>
      <c r="E107" s="47">
        <v>10</v>
      </c>
      <c r="F107" s="56" t="s">
        <v>307</v>
      </c>
      <c r="G107" s="47">
        <v>10</v>
      </c>
      <c r="H107" s="45"/>
      <c r="I107" s="48"/>
      <c r="J107" s="69" t="s">
        <v>310</v>
      </c>
      <c r="K107" s="46">
        <v>2</v>
      </c>
      <c r="L107" s="32" t="s">
        <v>189</v>
      </c>
      <c r="M107" s="47">
        <v>25</v>
      </c>
      <c r="N107" s="49" t="s">
        <v>78</v>
      </c>
      <c r="O107" s="34" t="s">
        <v>75</v>
      </c>
      <c r="P107" s="35" t="e">
        <f>C106/35+G109/35+E109/55+#REF!*0.65/35</f>
        <v>#REF!</v>
      </c>
      <c r="Q107" s="36" t="s">
        <v>69</v>
      </c>
      <c r="R107" s="37" t="s">
        <v>76</v>
      </c>
      <c r="S107" s="38" t="e">
        <f>P106*15+P108*5+P109*15+P110*12</f>
        <v>#REF!</v>
      </c>
      <c r="T107" s="36" t="s">
        <v>77</v>
      </c>
      <c r="U107" s="39" t="e">
        <f>S107*4/S106</f>
        <v>#REF!</v>
      </c>
      <c r="W107" s="49" t="s">
        <v>78</v>
      </c>
      <c r="X107" s="34" t="s">
        <v>75</v>
      </c>
      <c r="Y107" s="35">
        <f>C106/35+E106/55+G107/35</f>
        <v>2.9610389610389611</v>
      </c>
      <c r="Z107" s="36" t="s">
        <v>69</v>
      </c>
      <c r="AA107" s="37" t="s">
        <v>76</v>
      </c>
      <c r="AB107" s="38">
        <f>Y106*15+Y108*5+Y109*15+Y110*12</f>
        <v>121.63571428571427</v>
      </c>
      <c r="AC107" s="36" t="s">
        <v>77</v>
      </c>
      <c r="AD107" s="39">
        <f>AB107*4/AB106</f>
        <v>0.55423462724474792</v>
      </c>
    </row>
    <row r="108" spans="1:30" ht="16.149999999999999" customHeight="1">
      <c r="A108" s="241"/>
      <c r="B108" s="44"/>
      <c r="C108" s="51"/>
      <c r="D108" s="45" t="s">
        <v>295</v>
      </c>
      <c r="E108" s="47">
        <v>2</v>
      </c>
      <c r="F108" s="56" t="s">
        <v>308</v>
      </c>
      <c r="G108" s="47">
        <v>10</v>
      </c>
      <c r="H108" s="55"/>
      <c r="I108" s="46"/>
      <c r="J108" s="128" t="s">
        <v>294</v>
      </c>
      <c r="K108" s="51">
        <v>5</v>
      </c>
      <c r="L108" s="130"/>
      <c r="M108" s="110"/>
      <c r="N108" s="33" t="e">
        <f>S108</f>
        <v>#REF!</v>
      </c>
      <c r="O108" s="50" t="s">
        <v>79</v>
      </c>
      <c r="P108" s="35" t="e">
        <f>(C107+G107+G108+E106+E107+E108+#REF!+I106+#REF!)/100</f>
        <v>#REF!</v>
      </c>
      <c r="Q108" s="36" t="s">
        <v>69</v>
      </c>
      <c r="R108" s="37" t="s">
        <v>80</v>
      </c>
      <c r="S108" s="38" t="e">
        <f>P107*5+P110*4+P111*5</f>
        <v>#REF!</v>
      </c>
      <c r="T108" s="36" t="s">
        <v>77</v>
      </c>
      <c r="U108" s="39" t="e">
        <f>S108*9/S106</f>
        <v>#REF!</v>
      </c>
      <c r="W108" s="33">
        <f>AB108</f>
        <v>26.805194805194805</v>
      </c>
      <c r="X108" s="50" t="s">
        <v>79</v>
      </c>
      <c r="Y108" s="35">
        <f>(C107+E107+E108+G108+G109+I106+K106+K107+K108+K109)/100</f>
        <v>1.72</v>
      </c>
      <c r="Z108" s="36" t="s">
        <v>69</v>
      </c>
      <c r="AA108" s="37" t="s">
        <v>80</v>
      </c>
      <c r="AB108" s="38">
        <f>Y107*5+Y110*4+Y111*5</f>
        <v>26.805194805194805</v>
      </c>
      <c r="AC108" s="36" t="s">
        <v>77</v>
      </c>
      <c r="AD108" s="39">
        <f>AB108*9/AB106</f>
        <v>0.27481094912151033</v>
      </c>
    </row>
    <row r="109" spans="1:30" ht="16.149999999999999" customHeight="1">
      <c r="A109" s="241"/>
      <c r="B109" s="106"/>
      <c r="C109" s="92"/>
      <c r="D109" s="56"/>
      <c r="E109" s="47"/>
      <c r="F109" s="45" t="s">
        <v>309</v>
      </c>
      <c r="G109" s="47">
        <v>2</v>
      </c>
      <c r="H109" s="55"/>
      <c r="I109" s="46"/>
      <c r="J109" s="69" t="s">
        <v>311</v>
      </c>
      <c r="K109" s="47">
        <v>5</v>
      </c>
      <c r="L109" s="130"/>
      <c r="M109" s="110"/>
      <c r="N109" s="49" t="s">
        <v>83</v>
      </c>
      <c r="O109" s="58" t="s">
        <v>81</v>
      </c>
      <c r="P109" s="59">
        <v>0</v>
      </c>
      <c r="Q109" s="36" t="s">
        <v>69</v>
      </c>
      <c r="R109" s="37" t="s">
        <v>82</v>
      </c>
      <c r="S109" s="38" t="e">
        <f>P106*2+P107*7+P108*1+P110*8</f>
        <v>#REF!</v>
      </c>
      <c r="T109" s="36" t="s">
        <v>77</v>
      </c>
      <c r="U109" s="39" t="e">
        <f>S109*4/S106</f>
        <v>#REF!</v>
      </c>
      <c r="W109" s="49" t="s">
        <v>83</v>
      </c>
      <c r="X109" s="64" t="s">
        <v>81</v>
      </c>
      <c r="Y109" s="59">
        <v>0</v>
      </c>
      <c r="Z109" s="36" t="s">
        <v>69</v>
      </c>
      <c r="AA109" s="37" t="s">
        <v>82</v>
      </c>
      <c r="AB109" s="38">
        <f>Y106*2+Y107*7+Y108*1+Y110*8</f>
        <v>37.518701298701295</v>
      </c>
      <c r="AC109" s="36" t="s">
        <v>77</v>
      </c>
      <c r="AD109" s="39">
        <f>AB109*4/AB106</f>
        <v>0.17095442363374161</v>
      </c>
    </row>
    <row r="110" spans="1:30" ht="16.149999999999999" customHeight="1">
      <c r="A110" s="241" t="s">
        <v>89</v>
      </c>
      <c r="B110" s="62"/>
      <c r="C110" s="63"/>
      <c r="D110" s="56"/>
      <c r="E110" s="51"/>
      <c r="F110" s="45"/>
      <c r="G110" s="47"/>
      <c r="H110" s="55"/>
      <c r="I110" s="46"/>
      <c r="J110" s="69"/>
      <c r="K110" s="47"/>
      <c r="L110" s="130"/>
      <c r="M110" s="110"/>
      <c r="N110" s="33" t="e">
        <f>S109</f>
        <v>#REF!</v>
      </c>
      <c r="O110" s="64" t="s">
        <v>84</v>
      </c>
      <c r="P110" s="59">
        <v>0</v>
      </c>
      <c r="Q110" s="36" t="s">
        <v>69</v>
      </c>
      <c r="R110" s="65"/>
      <c r="S110" s="65"/>
      <c r="T110" s="65"/>
      <c r="U110" s="66" t="e">
        <f>SUM(U107:U109)</f>
        <v>#REF!</v>
      </c>
      <c r="W110" s="33">
        <f>AB109</f>
        <v>37.518701298701295</v>
      </c>
      <c r="X110" s="64" t="s">
        <v>84</v>
      </c>
      <c r="Y110" s="59">
        <v>0</v>
      </c>
      <c r="Z110" s="36" t="s">
        <v>69</v>
      </c>
      <c r="AA110" s="65"/>
      <c r="AB110" s="65"/>
      <c r="AC110" s="65"/>
      <c r="AD110" s="66">
        <f>SUM(AD107:AD109)</f>
        <v>0.99999999999999989</v>
      </c>
    </row>
    <row r="111" spans="1:30" ht="16.149999999999999" customHeight="1">
      <c r="A111" s="241"/>
      <c r="B111" s="62"/>
      <c r="C111" s="63"/>
      <c r="D111" s="32"/>
      <c r="E111" s="47"/>
      <c r="F111" s="56"/>
      <c r="G111" s="51"/>
      <c r="H111" s="55"/>
      <c r="I111" s="46"/>
      <c r="J111" s="73"/>
      <c r="K111" s="74"/>
      <c r="L111" s="130"/>
      <c r="M111" s="110"/>
      <c r="N111" s="49" t="s">
        <v>87</v>
      </c>
      <c r="O111" s="70" t="s">
        <v>86</v>
      </c>
      <c r="P111" s="59">
        <v>2.5</v>
      </c>
      <c r="Q111" s="36" t="s">
        <v>69</v>
      </c>
      <c r="R111" s="71"/>
      <c r="S111" s="71"/>
      <c r="T111" s="71"/>
      <c r="U111" s="72"/>
      <c r="W111" s="49" t="s">
        <v>87</v>
      </c>
      <c r="X111" s="70" t="s">
        <v>86</v>
      </c>
      <c r="Y111" s="59">
        <v>2.4</v>
      </c>
      <c r="Z111" s="36" t="s">
        <v>69</v>
      </c>
      <c r="AA111" s="71"/>
      <c r="AB111" s="71"/>
      <c r="AC111" s="71"/>
      <c r="AD111" s="72"/>
    </row>
    <row r="112" spans="1:30" ht="16.149999999999999" customHeight="1" thickBot="1">
      <c r="A112" s="242"/>
      <c r="B112" s="234" t="s">
        <v>95</v>
      </c>
      <c r="C112" s="235"/>
      <c r="D112" s="234" t="s">
        <v>208</v>
      </c>
      <c r="E112" s="235"/>
      <c r="F112" s="234" t="s">
        <v>201</v>
      </c>
      <c r="G112" s="235"/>
      <c r="H112" s="234" t="s">
        <v>96</v>
      </c>
      <c r="I112" s="235"/>
      <c r="J112" s="234" t="s">
        <v>94</v>
      </c>
      <c r="K112" s="235"/>
      <c r="L112" s="234" t="s">
        <v>97</v>
      </c>
      <c r="M112" s="235"/>
      <c r="N112" s="80" t="e">
        <f>P112</f>
        <v>#REF!</v>
      </c>
      <c r="O112" s="75" t="s">
        <v>88</v>
      </c>
      <c r="P112" s="76" t="e">
        <f>P106*68+P107*73+P108*24+P109*60+P110*112+P111*45</f>
        <v>#REF!</v>
      </c>
      <c r="Q112" s="77" t="s">
        <v>71</v>
      </c>
      <c r="R112" s="78"/>
      <c r="S112" s="78"/>
      <c r="T112" s="78"/>
      <c r="U112" s="79"/>
      <c r="W112" s="80">
        <f>Y112</f>
        <v>877.86441558441561</v>
      </c>
      <c r="X112" s="75" t="s">
        <v>88</v>
      </c>
      <c r="Y112" s="76">
        <f>Y106*68+Y107*73+Y108*24+Y109*60+Y110*112+Y111*45</f>
        <v>877.86441558441561</v>
      </c>
      <c r="Z112" s="77" t="s">
        <v>71</v>
      </c>
      <c r="AA112" s="78"/>
      <c r="AB112" s="78"/>
      <c r="AC112" s="78"/>
      <c r="AD112" s="79"/>
    </row>
    <row r="113" spans="1:30" ht="16.149999999999999" customHeight="1" thickBot="1">
      <c r="A113" s="251">
        <f>A105+1</f>
        <v>43936</v>
      </c>
      <c r="B113" s="255" t="s">
        <v>417</v>
      </c>
      <c r="C113" s="256"/>
      <c r="D113" s="253" t="s">
        <v>209</v>
      </c>
      <c r="E113" s="244"/>
      <c r="F113" s="255" t="s">
        <v>210</v>
      </c>
      <c r="G113" s="256"/>
      <c r="H113" s="243" t="s">
        <v>90</v>
      </c>
      <c r="I113" s="254"/>
      <c r="J113" s="243" t="s">
        <v>211</v>
      </c>
      <c r="K113" s="244"/>
      <c r="L113" s="259" t="s">
        <v>188</v>
      </c>
      <c r="M113" s="260"/>
      <c r="N113" s="16" t="s">
        <v>67</v>
      </c>
      <c r="O113" s="245" t="s">
        <v>73</v>
      </c>
      <c r="P113" s="246"/>
      <c r="Q113" s="247"/>
      <c r="R113" s="248" t="s">
        <v>74</v>
      </c>
      <c r="S113" s="249"/>
      <c r="T113" s="249"/>
      <c r="U113" s="250"/>
      <c r="W113" s="16" t="s">
        <v>67</v>
      </c>
      <c r="X113" s="245" t="s">
        <v>73</v>
      </c>
      <c r="Y113" s="246"/>
      <c r="Z113" s="247"/>
      <c r="AA113" s="248" t="s">
        <v>74</v>
      </c>
      <c r="AB113" s="249"/>
      <c r="AC113" s="249"/>
      <c r="AD113" s="250"/>
    </row>
    <row r="114" spans="1:30" ht="16.149999999999999" customHeight="1">
      <c r="A114" s="241"/>
      <c r="B114" s="45" t="s">
        <v>419</v>
      </c>
      <c r="C114" s="47">
        <v>90</v>
      </c>
      <c r="D114" s="101" t="s">
        <v>315</v>
      </c>
      <c r="E114" s="28">
        <v>20</v>
      </c>
      <c r="F114" s="25" t="s">
        <v>316</v>
      </c>
      <c r="G114" s="26">
        <v>35</v>
      </c>
      <c r="H114" s="85" t="s">
        <v>202</v>
      </c>
      <c r="I114" s="30">
        <v>100</v>
      </c>
      <c r="J114" s="25" t="s">
        <v>317</v>
      </c>
      <c r="K114" s="26">
        <v>20</v>
      </c>
      <c r="L114" s="137" t="s">
        <v>91</v>
      </c>
      <c r="M114" s="104">
        <v>110</v>
      </c>
      <c r="N114" s="33" t="e">
        <f>S115</f>
        <v>#REF!</v>
      </c>
      <c r="O114" s="17" t="s">
        <v>68</v>
      </c>
      <c r="P114" s="59">
        <f>K116/35+M114/20</f>
        <v>5.5</v>
      </c>
      <c r="Q114" s="19" t="s">
        <v>69</v>
      </c>
      <c r="R114" s="86" t="s">
        <v>70</v>
      </c>
      <c r="S114" s="87" t="e">
        <f>P120</f>
        <v>#REF!</v>
      </c>
      <c r="T114" s="88" t="s">
        <v>71</v>
      </c>
      <c r="U114" s="105"/>
      <c r="W114" s="33">
        <f>AB115</f>
        <v>124.43181818181819</v>
      </c>
      <c r="X114" s="17" t="s">
        <v>68</v>
      </c>
      <c r="Y114" s="18">
        <f>M114/20+M115/20+E114/2/30</f>
        <v>7.583333333333333</v>
      </c>
      <c r="Z114" s="19" t="s">
        <v>69</v>
      </c>
      <c r="AA114" s="86" t="s">
        <v>70</v>
      </c>
      <c r="AB114" s="87">
        <f>Y120</f>
        <v>865.02822510822512</v>
      </c>
      <c r="AC114" s="88" t="s">
        <v>71</v>
      </c>
      <c r="AD114" s="105"/>
    </row>
    <row r="115" spans="1:30" ht="16.149999999999999" customHeight="1">
      <c r="A115" s="241"/>
      <c r="B115" s="144" t="s">
        <v>273</v>
      </c>
      <c r="C115" s="145">
        <v>0.4</v>
      </c>
      <c r="D115" s="32" t="s">
        <v>268</v>
      </c>
      <c r="E115" s="47">
        <v>10</v>
      </c>
      <c r="F115" s="45" t="s">
        <v>401</v>
      </c>
      <c r="G115" s="46">
        <v>10</v>
      </c>
      <c r="H115" s="69"/>
      <c r="I115" s="92"/>
      <c r="J115" s="45" t="s">
        <v>318</v>
      </c>
      <c r="K115" s="46">
        <v>12</v>
      </c>
      <c r="L115" s="55" t="s">
        <v>319</v>
      </c>
      <c r="M115" s="110">
        <v>35</v>
      </c>
      <c r="N115" s="49" t="s">
        <v>78</v>
      </c>
      <c r="O115" s="34" t="s">
        <v>75</v>
      </c>
      <c r="P115" s="35">
        <f>C114*0.68/40+G131/35+G132/35+E123/15+K117/60</f>
        <v>3.5300000000000002</v>
      </c>
      <c r="Q115" s="36" t="s">
        <v>69</v>
      </c>
      <c r="R115" s="37" t="s">
        <v>76</v>
      </c>
      <c r="S115" s="38" t="e">
        <f>P114*15+P116*5+P117*15+P118*12</f>
        <v>#REF!</v>
      </c>
      <c r="T115" s="36" t="s">
        <v>77</v>
      </c>
      <c r="U115" s="39" t="e">
        <f>S115*4/S114</f>
        <v>#REF!</v>
      </c>
      <c r="W115" s="49" t="s">
        <v>78</v>
      </c>
      <c r="X115" s="34" t="s">
        <v>75</v>
      </c>
      <c r="Y115" s="35">
        <f>C114*0.6/30+E114/2/35+K115/50+G117/35</f>
        <v>2.6114285714285712</v>
      </c>
      <c r="Z115" s="36" t="s">
        <v>69</v>
      </c>
      <c r="AA115" s="37" t="s">
        <v>76</v>
      </c>
      <c r="AB115" s="38">
        <f>Y114*15+Y116*5+Y117*15+Y118*12</f>
        <v>124.43181818181819</v>
      </c>
      <c r="AC115" s="36" t="s">
        <v>77</v>
      </c>
      <c r="AD115" s="39">
        <f>AB115*4/AB114</f>
        <v>0.57538847667658621</v>
      </c>
    </row>
    <row r="116" spans="1:30" ht="16.149999999999999" customHeight="1">
      <c r="A116" s="241"/>
      <c r="B116" s="45" t="s">
        <v>312</v>
      </c>
      <c r="C116" s="47">
        <v>10</v>
      </c>
      <c r="D116" s="45" t="s">
        <v>295</v>
      </c>
      <c r="E116" s="47">
        <v>5</v>
      </c>
      <c r="F116" s="45" t="s">
        <v>402</v>
      </c>
      <c r="G116" s="46">
        <v>5</v>
      </c>
      <c r="H116" s="69"/>
      <c r="I116" s="46"/>
      <c r="J116" s="91"/>
      <c r="K116" s="92"/>
      <c r="L116" s="130"/>
      <c r="M116" s="110"/>
      <c r="N116" s="33">
        <f>S116</f>
        <v>30.150000000000002</v>
      </c>
      <c r="O116" s="50" t="s">
        <v>79</v>
      </c>
      <c r="P116" s="35" t="e">
        <f>(G130+E122+#REF!+I114+K114+K115)/100</f>
        <v>#REF!</v>
      </c>
      <c r="Q116" s="36" t="s">
        <v>69</v>
      </c>
      <c r="R116" s="37" t="s">
        <v>80</v>
      </c>
      <c r="S116" s="38">
        <f>P115*5+P118*4+P119*5</f>
        <v>30.150000000000002</v>
      </c>
      <c r="T116" s="36" t="s">
        <v>77</v>
      </c>
      <c r="U116" s="39" t="e">
        <f>S116*9/S114</f>
        <v>#REF!</v>
      </c>
      <c r="W116" s="33">
        <f>AB116</f>
        <v>25.057142857142857</v>
      </c>
      <c r="X116" s="50" t="s">
        <v>79</v>
      </c>
      <c r="Y116" s="35">
        <f>(C116+C117+E115+E116+G114+G116+G115+I114+K114)/100</f>
        <v>2</v>
      </c>
      <c r="Z116" s="36" t="s">
        <v>69</v>
      </c>
      <c r="AA116" s="37" t="s">
        <v>80</v>
      </c>
      <c r="AB116" s="38">
        <f>Y115*5+Y118*4+Y119*5</f>
        <v>25.057142857142857</v>
      </c>
      <c r="AC116" s="36" t="s">
        <v>77</v>
      </c>
      <c r="AD116" s="39">
        <f>AB116*9/AB114</f>
        <v>0.26070165015259616</v>
      </c>
    </row>
    <row r="117" spans="1:30" ht="16.149999999999999" customHeight="1">
      <c r="A117" s="241"/>
      <c r="B117" s="45" t="s">
        <v>313</v>
      </c>
      <c r="C117" s="51">
        <v>5</v>
      </c>
      <c r="D117" s="56"/>
      <c r="E117" s="114"/>
      <c r="F117" s="45" t="s">
        <v>420</v>
      </c>
      <c r="G117" s="46">
        <v>10</v>
      </c>
      <c r="H117" s="69"/>
      <c r="I117" s="46" t="s">
        <v>117</v>
      </c>
      <c r="J117" s="45"/>
      <c r="K117" s="47"/>
      <c r="L117" s="67"/>
      <c r="M117" s="24"/>
      <c r="N117" s="49" t="s">
        <v>83</v>
      </c>
      <c r="O117" s="58" t="s">
        <v>81</v>
      </c>
      <c r="P117" s="59">
        <v>0</v>
      </c>
      <c r="Q117" s="36" t="s">
        <v>69</v>
      </c>
      <c r="R117" s="37" t="s">
        <v>82</v>
      </c>
      <c r="S117" s="38" t="e">
        <f>P114*2+P115*7+P116*1+P118*8</f>
        <v>#REF!</v>
      </c>
      <c r="T117" s="36" t="s">
        <v>77</v>
      </c>
      <c r="U117" s="39" t="e">
        <f>S117*4/S114</f>
        <v>#REF!</v>
      </c>
      <c r="W117" s="49" t="s">
        <v>83</v>
      </c>
      <c r="X117" s="64" t="s">
        <v>81</v>
      </c>
      <c r="Y117" s="59">
        <f>C118/110</f>
        <v>4.5454545454545456E-2</v>
      </c>
      <c r="Z117" s="36" t="s">
        <v>69</v>
      </c>
      <c r="AA117" s="37" t="s">
        <v>82</v>
      </c>
      <c r="AB117" s="38">
        <f>Y114*2+Y115*7+Y116*1+Y118*8</f>
        <v>35.446666666666665</v>
      </c>
      <c r="AC117" s="36" t="s">
        <v>77</v>
      </c>
      <c r="AD117" s="39">
        <f>AB117*4/AB114</f>
        <v>0.16390987317081762</v>
      </c>
    </row>
    <row r="118" spans="1:30" ht="16.149999999999999" customHeight="1">
      <c r="A118" s="241" t="s">
        <v>93</v>
      </c>
      <c r="B118" s="45" t="s">
        <v>314</v>
      </c>
      <c r="C118" s="46">
        <v>5</v>
      </c>
      <c r="F118" s="44"/>
      <c r="G118" s="24"/>
      <c r="H118" s="69"/>
      <c r="I118" s="46"/>
      <c r="J118" s="55"/>
      <c r="K118" s="47"/>
      <c r="L118" s="130"/>
      <c r="M118" s="110"/>
      <c r="N118" s="33" t="e">
        <f>S117</f>
        <v>#REF!</v>
      </c>
      <c r="O118" s="64" t="s">
        <v>84</v>
      </c>
      <c r="P118" s="59">
        <v>0</v>
      </c>
      <c r="Q118" s="36" t="s">
        <v>69</v>
      </c>
      <c r="R118" s="65"/>
      <c r="S118" s="65"/>
      <c r="T118" s="65"/>
      <c r="U118" s="66" t="e">
        <f>SUM(U115:U117)</f>
        <v>#REF!</v>
      </c>
      <c r="W118" s="33">
        <f>AB117</f>
        <v>35.446666666666665</v>
      </c>
      <c r="X118" s="64" t="s">
        <v>84</v>
      </c>
      <c r="Y118" s="59">
        <v>0</v>
      </c>
      <c r="Z118" s="36" t="s">
        <v>69</v>
      </c>
      <c r="AA118" s="65"/>
      <c r="AB118" s="65"/>
      <c r="AC118" s="65"/>
      <c r="AD118" s="66">
        <f>SUM(AD115:AD117)</f>
        <v>1</v>
      </c>
    </row>
    <row r="119" spans="1:30" ht="16.149999999999999" customHeight="1">
      <c r="A119" s="241"/>
      <c r="B119" s="55"/>
      <c r="C119" s="46"/>
      <c r="D119" s="44"/>
      <c r="E119" s="68"/>
      <c r="F119" s="32"/>
      <c r="G119" s="47"/>
      <c r="H119" s="27"/>
      <c r="I119" s="120"/>
      <c r="J119" s="55"/>
      <c r="K119" s="46"/>
      <c r="L119" s="126"/>
      <c r="M119" s="57"/>
      <c r="N119" s="49" t="s">
        <v>87</v>
      </c>
      <c r="O119" s="70" t="s">
        <v>86</v>
      </c>
      <c r="P119" s="59">
        <v>2.5</v>
      </c>
      <c r="Q119" s="36" t="s">
        <v>69</v>
      </c>
      <c r="R119" s="71"/>
      <c r="S119" s="71"/>
      <c r="T119" s="71"/>
      <c r="U119" s="72"/>
      <c r="W119" s="49" t="s">
        <v>87</v>
      </c>
      <c r="X119" s="70" t="s">
        <v>86</v>
      </c>
      <c r="Y119" s="59">
        <v>2.4</v>
      </c>
      <c r="Z119" s="36" t="s">
        <v>69</v>
      </c>
      <c r="AA119" s="71"/>
      <c r="AB119" s="71"/>
      <c r="AC119" s="71"/>
      <c r="AD119" s="72"/>
    </row>
    <row r="120" spans="1:30" ht="16.149999999999999" customHeight="1" thickBot="1">
      <c r="A120" s="242"/>
      <c r="B120" s="234" t="s">
        <v>108</v>
      </c>
      <c r="C120" s="235"/>
      <c r="D120" s="234" t="s">
        <v>107</v>
      </c>
      <c r="E120" s="257"/>
      <c r="F120" s="234" t="s">
        <v>107</v>
      </c>
      <c r="G120" s="235"/>
      <c r="H120" s="234" t="s">
        <v>96</v>
      </c>
      <c r="I120" s="235"/>
      <c r="J120" s="234" t="s">
        <v>94</v>
      </c>
      <c r="K120" s="235"/>
      <c r="L120" s="234" t="s">
        <v>97</v>
      </c>
      <c r="M120" s="235"/>
      <c r="N120" s="80" t="e">
        <f>P120</f>
        <v>#REF!</v>
      </c>
      <c r="O120" s="75" t="s">
        <v>88</v>
      </c>
      <c r="P120" s="76" t="e">
        <f>P114*68+P115*73+P116*24+P117*60+P118*112+P119*45</f>
        <v>#REF!</v>
      </c>
      <c r="Q120" s="77" t="s">
        <v>71</v>
      </c>
      <c r="R120" s="78"/>
      <c r="S120" s="78"/>
      <c r="T120" s="78"/>
      <c r="U120" s="79"/>
      <c r="W120" s="80">
        <f>Y120</f>
        <v>865.02822510822512</v>
      </c>
      <c r="X120" s="75" t="s">
        <v>88</v>
      </c>
      <c r="Y120" s="76">
        <f>Y114*68+Y115*73+Y116*24+Y117*60+Y118*112+Y119*45</f>
        <v>865.02822510822512</v>
      </c>
      <c r="Z120" s="77" t="s">
        <v>71</v>
      </c>
      <c r="AA120" s="78"/>
      <c r="AB120" s="78"/>
      <c r="AC120" s="78"/>
      <c r="AD120" s="79"/>
    </row>
    <row r="121" spans="1:30" ht="16.149999999999999" customHeight="1" thickBot="1">
      <c r="A121" s="251">
        <f>A113+1</f>
        <v>43937</v>
      </c>
      <c r="B121" s="243" t="s">
        <v>213</v>
      </c>
      <c r="C121" s="252"/>
      <c r="D121" s="255" t="s">
        <v>403</v>
      </c>
      <c r="E121" s="256"/>
      <c r="F121" s="255" t="s">
        <v>215</v>
      </c>
      <c r="G121" s="256"/>
      <c r="H121" s="243" t="s">
        <v>90</v>
      </c>
      <c r="I121" s="254"/>
      <c r="J121" s="243" t="s">
        <v>217</v>
      </c>
      <c r="K121" s="265"/>
      <c r="L121" s="258" t="s">
        <v>212</v>
      </c>
      <c r="M121" s="259"/>
      <c r="N121" s="16" t="s">
        <v>67</v>
      </c>
      <c r="O121" s="245" t="s">
        <v>73</v>
      </c>
      <c r="P121" s="246"/>
      <c r="Q121" s="247"/>
      <c r="R121" s="248" t="s">
        <v>74</v>
      </c>
      <c r="S121" s="249"/>
      <c r="T121" s="249"/>
      <c r="U121" s="250"/>
      <c r="W121" s="16" t="s">
        <v>67</v>
      </c>
      <c r="X121" s="245" t="s">
        <v>73</v>
      </c>
      <c r="Y121" s="246"/>
      <c r="Z121" s="247"/>
      <c r="AA121" s="248" t="s">
        <v>74</v>
      </c>
      <c r="AB121" s="249"/>
      <c r="AC121" s="249"/>
      <c r="AD121" s="250"/>
    </row>
    <row r="122" spans="1:30" ht="16.149999999999999" customHeight="1">
      <c r="A122" s="241"/>
      <c r="B122" s="45" t="s">
        <v>320</v>
      </c>
      <c r="C122" s="47">
        <v>60</v>
      </c>
      <c r="D122" s="41" t="s">
        <v>322</v>
      </c>
      <c r="E122" s="42">
        <v>20</v>
      </c>
      <c r="F122" s="25" t="s">
        <v>378</v>
      </c>
      <c r="G122" s="46">
        <v>15</v>
      </c>
      <c r="H122" s="29" t="s">
        <v>216</v>
      </c>
      <c r="I122" s="117">
        <v>100</v>
      </c>
      <c r="J122" s="25" t="s">
        <v>326</v>
      </c>
      <c r="K122" s="146">
        <v>30</v>
      </c>
      <c r="L122" s="25" t="s">
        <v>327</v>
      </c>
      <c r="M122" s="26">
        <v>140</v>
      </c>
      <c r="N122" s="33" t="e">
        <f>S123</f>
        <v>#REF!</v>
      </c>
      <c r="O122" s="17" t="s">
        <v>68</v>
      </c>
      <c r="P122" s="59">
        <f>G117/35+M122/20</f>
        <v>7.2857142857142856</v>
      </c>
      <c r="Q122" s="19" t="s">
        <v>69</v>
      </c>
      <c r="R122" s="86" t="s">
        <v>70</v>
      </c>
      <c r="S122" s="87" t="e">
        <f>P128</f>
        <v>#REF!</v>
      </c>
      <c r="T122" s="88" t="s">
        <v>71</v>
      </c>
      <c r="U122" s="89" t="s">
        <v>72</v>
      </c>
      <c r="W122" s="33">
        <f>AB123</f>
        <v>121.2</v>
      </c>
      <c r="X122" s="17" t="s">
        <v>68</v>
      </c>
      <c r="Y122" s="18">
        <f>M122/20+G122/30</f>
        <v>7.5</v>
      </c>
      <c r="Z122" s="19" t="s">
        <v>69</v>
      </c>
      <c r="AA122" s="86" t="s">
        <v>70</v>
      </c>
      <c r="AB122" s="87">
        <f>Y128</f>
        <v>860.09285714285716</v>
      </c>
      <c r="AC122" s="88" t="s">
        <v>71</v>
      </c>
      <c r="AD122" s="89" t="s">
        <v>72</v>
      </c>
    </row>
    <row r="123" spans="1:30" ht="16.149999999999999" customHeight="1">
      <c r="A123" s="241"/>
      <c r="B123" s="52" t="s">
        <v>321</v>
      </c>
      <c r="C123" s="53">
        <v>0.18</v>
      </c>
      <c r="D123" s="56" t="s">
        <v>404</v>
      </c>
      <c r="E123" s="51">
        <v>30</v>
      </c>
      <c r="F123" t="s">
        <v>257</v>
      </c>
      <c r="G123" s="46">
        <v>5</v>
      </c>
      <c r="H123" s="52"/>
      <c r="I123" s="119"/>
      <c r="J123" s="128"/>
      <c r="K123" s="114"/>
      <c r="L123" s="56" t="s">
        <v>271</v>
      </c>
      <c r="M123" s="47">
        <v>25</v>
      </c>
      <c r="N123" s="49" t="s">
        <v>78</v>
      </c>
      <c r="O123" s="34" t="s">
        <v>75</v>
      </c>
      <c r="P123" s="35" t="e">
        <f>C122/35+#REF!/80+#REF!/35</f>
        <v>#REF!</v>
      </c>
      <c r="Q123" s="36" t="s">
        <v>69</v>
      </c>
      <c r="R123" s="37" t="s">
        <v>76</v>
      </c>
      <c r="S123" s="38" t="e">
        <f>P122*15+P124*5+P125*15+P126*12</f>
        <v>#REF!</v>
      </c>
      <c r="T123" s="36" t="s">
        <v>77</v>
      </c>
      <c r="U123" s="39" t="e">
        <f>S123*4/S122</f>
        <v>#REF!</v>
      </c>
      <c r="W123" s="49" t="s">
        <v>78</v>
      </c>
      <c r="X123" s="34" t="s">
        <v>75</v>
      </c>
      <c r="Y123" s="35">
        <f>C122*0.82/40+E123/35+G123/35+M124/35</f>
        <v>2.7442857142857142</v>
      </c>
      <c r="Z123" s="36" t="s">
        <v>69</v>
      </c>
      <c r="AA123" s="37" t="s">
        <v>76</v>
      </c>
      <c r="AB123" s="38">
        <f>Y122*15+Y124*5+Y125*15+Y126*12</f>
        <v>121.2</v>
      </c>
      <c r="AC123" s="36" t="s">
        <v>77</v>
      </c>
      <c r="AD123" s="39">
        <f>AB123*4/AB122</f>
        <v>0.5636600699260047</v>
      </c>
    </row>
    <row r="124" spans="1:30" ht="16.149999999999999" customHeight="1">
      <c r="A124" s="241"/>
      <c r="B124" s="56"/>
      <c r="C124" s="51"/>
      <c r="D124" s="56" t="s">
        <v>405</v>
      </c>
      <c r="E124" s="48">
        <v>2</v>
      </c>
      <c r="F124" s="45" t="s">
        <v>271</v>
      </c>
      <c r="G124" s="46">
        <v>5</v>
      </c>
      <c r="H124" s="32"/>
      <c r="I124" s="47"/>
      <c r="J124" s="61"/>
      <c r="K124" s="114"/>
      <c r="L124" s="32" t="s">
        <v>379</v>
      </c>
      <c r="M124" s="47">
        <v>18</v>
      </c>
      <c r="N124" s="33" t="e">
        <f>S124</f>
        <v>#REF!</v>
      </c>
      <c r="O124" s="50" t="s">
        <v>79</v>
      </c>
      <c r="P124" s="35" t="e">
        <f>(G114+G115+G116+E125+I122+K106+#REF!+K108)/100</f>
        <v>#REF!</v>
      </c>
      <c r="Q124" s="36" t="s">
        <v>69</v>
      </c>
      <c r="R124" s="37" t="s">
        <v>80</v>
      </c>
      <c r="S124" s="38" t="e">
        <f>P123*5+P126*4+P127*5</f>
        <v>#REF!</v>
      </c>
      <c r="T124" s="36" t="s">
        <v>77</v>
      </c>
      <c r="U124" s="39" t="e">
        <f>S124*9/S122</f>
        <v>#REF!</v>
      </c>
      <c r="W124" s="33">
        <f>AB124</f>
        <v>25.721428571428572</v>
      </c>
      <c r="X124" s="50" t="s">
        <v>79</v>
      </c>
      <c r="Y124" s="35">
        <f>(E122+E124+E125+G124+I122+M123+M125+M126+E126)/100</f>
        <v>1.74</v>
      </c>
      <c r="Z124" s="36" t="s">
        <v>69</v>
      </c>
      <c r="AA124" s="37" t="s">
        <v>80</v>
      </c>
      <c r="AB124" s="38">
        <f>Y123*5+Y126*4+Y127*5</f>
        <v>25.721428571428572</v>
      </c>
      <c r="AC124" s="36" t="s">
        <v>77</v>
      </c>
      <c r="AD124" s="39">
        <f>AB124*9/AB122</f>
        <v>0.26914867995980502</v>
      </c>
    </row>
    <row r="125" spans="1:30" ht="16.149999999999999" customHeight="1">
      <c r="A125" s="241"/>
      <c r="B125" s="56"/>
      <c r="C125" s="51"/>
      <c r="D125" s="56" t="s">
        <v>402</v>
      </c>
      <c r="E125" s="47">
        <v>5</v>
      </c>
      <c r="F125" s="45" t="s">
        <v>324</v>
      </c>
      <c r="G125" s="46" t="s">
        <v>325</v>
      </c>
      <c r="H125" s="62"/>
      <c r="I125" s="63"/>
      <c r="J125" s="61"/>
      <c r="K125" s="114"/>
      <c r="L125" s="32" t="s">
        <v>269</v>
      </c>
      <c r="M125" s="47">
        <v>5</v>
      </c>
      <c r="N125" s="49" t="s">
        <v>83</v>
      </c>
      <c r="O125" s="58" t="s">
        <v>81</v>
      </c>
      <c r="P125" s="59">
        <v>0</v>
      </c>
      <c r="Q125" s="36" t="s">
        <v>69</v>
      </c>
      <c r="R125" s="37" t="s">
        <v>82</v>
      </c>
      <c r="S125" s="38" t="e">
        <f>P122*2+P123*7+P124*1+P126*8</f>
        <v>#REF!</v>
      </c>
      <c r="T125" s="36" t="s">
        <v>77</v>
      </c>
      <c r="U125" s="39" t="e">
        <f>S125*4/S122</f>
        <v>#REF!</v>
      </c>
      <c r="W125" s="49" t="s">
        <v>83</v>
      </c>
      <c r="X125" s="64" t="s">
        <v>81</v>
      </c>
      <c r="Y125" s="59">
        <v>0</v>
      </c>
      <c r="Z125" s="36" t="s">
        <v>69</v>
      </c>
      <c r="AA125" s="37" t="s">
        <v>82</v>
      </c>
      <c r="AB125" s="38">
        <f>Y122*2+Y123*7+Y124*1+Y126*8</f>
        <v>35.950000000000003</v>
      </c>
      <c r="AC125" s="36" t="s">
        <v>77</v>
      </c>
      <c r="AD125" s="39">
        <f>AB125*4/AB122</f>
        <v>0.16719125011419034</v>
      </c>
    </row>
    <row r="126" spans="1:30" ht="16.149999999999999" customHeight="1">
      <c r="A126" s="241" t="s">
        <v>99</v>
      </c>
      <c r="B126" s="44"/>
      <c r="C126" s="24"/>
      <c r="D126" s="97" t="s">
        <v>406</v>
      </c>
      <c r="E126" s="147">
        <v>10</v>
      </c>
      <c r="F126" s="44"/>
      <c r="G126" s="24"/>
      <c r="H126" s="44"/>
      <c r="I126" s="121"/>
      <c r="J126" s="45"/>
      <c r="K126" s="114"/>
      <c r="L126" s="32" t="s">
        <v>295</v>
      </c>
      <c r="M126" s="47">
        <v>2</v>
      </c>
      <c r="N126" s="33" t="e">
        <f>S125</f>
        <v>#REF!</v>
      </c>
      <c r="O126" s="64" t="s">
        <v>84</v>
      </c>
      <c r="P126" s="59">
        <v>0</v>
      </c>
      <c r="Q126" s="36" t="s">
        <v>69</v>
      </c>
      <c r="R126" s="65"/>
      <c r="S126" s="65"/>
      <c r="T126" s="65"/>
      <c r="U126" s="66" t="e">
        <f>SUM(U123:U125)</f>
        <v>#REF!</v>
      </c>
      <c r="W126" s="33">
        <f>AB125</f>
        <v>35.950000000000003</v>
      </c>
      <c r="X126" s="64" t="s">
        <v>84</v>
      </c>
      <c r="Y126" s="59">
        <v>0</v>
      </c>
      <c r="Z126" s="36" t="s">
        <v>69</v>
      </c>
      <c r="AA126" s="65"/>
      <c r="AB126" s="65"/>
      <c r="AC126" s="65"/>
      <c r="AD126" s="66">
        <f>SUM(AD123:AD125)</f>
        <v>1</v>
      </c>
    </row>
    <row r="127" spans="1:30" ht="16.149999999999999" customHeight="1">
      <c r="A127" s="241"/>
      <c r="B127" s="44"/>
      <c r="C127" s="24"/>
      <c r="D127" s="62"/>
      <c r="E127" s="100"/>
      <c r="F127" s="32"/>
      <c r="G127" s="47"/>
      <c r="H127" s="44"/>
      <c r="I127" s="121"/>
      <c r="J127" s="55"/>
      <c r="K127" s="46"/>
      <c r="L127" s="56"/>
      <c r="M127" s="57"/>
      <c r="N127" s="49" t="s">
        <v>87</v>
      </c>
      <c r="O127" s="70" t="s">
        <v>86</v>
      </c>
      <c r="P127" s="59">
        <v>2.5</v>
      </c>
      <c r="Q127" s="36" t="s">
        <v>69</v>
      </c>
      <c r="R127" s="71"/>
      <c r="S127" s="71"/>
      <c r="T127" s="71"/>
      <c r="U127" s="72"/>
      <c r="W127" s="49" t="s">
        <v>87</v>
      </c>
      <c r="X127" s="70" t="s">
        <v>86</v>
      </c>
      <c r="Y127" s="59">
        <v>2.4</v>
      </c>
      <c r="Z127" s="36" t="s">
        <v>69</v>
      </c>
      <c r="AA127" s="71"/>
      <c r="AB127" s="71"/>
      <c r="AC127" s="71"/>
      <c r="AD127" s="72"/>
    </row>
    <row r="128" spans="1:30" ht="16.149999999999999" customHeight="1" thickBot="1">
      <c r="A128" s="242"/>
      <c r="B128" s="234" t="s">
        <v>182</v>
      </c>
      <c r="C128" s="235"/>
      <c r="D128" s="234" t="s">
        <v>214</v>
      </c>
      <c r="E128" s="235"/>
      <c r="F128" s="234" t="s">
        <v>196</v>
      </c>
      <c r="G128" s="235"/>
      <c r="H128" s="234" t="s">
        <v>96</v>
      </c>
      <c r="I128" s="235"/>
      <c r="J128" s="234" t="s">
        <v>94</v>
      </c>
      <c r="K128" s="235"/>
      <c r="L128" s="234" t="s">
        <v>201</v>
      </c>
      <c r="M128" s="235"/>
      <c r="N128" s="80" t="e">
        <f>P128</f>
        <v>#REF!</v>
      </c>
      <c r="O128" s="75" t="s">
        <v>88</v>
      </c>
      <c r="P128" s="76" t="e">
        <f>P122*68+P123*73+P124*24+P125*60+P126*112+P127*45</f>
        <v>#REF!</v>
      </c>
      <c r="Q128" s="77" t="s">
        <v>71</v>
      </c>
      <c r="R128" s="78"/>
      <c r="S128" s="78"/>
      <c r="T128" s="78"/>
      <c r="U128" s="79"/>
      <c r="W128" s="80">
        <f>Y128</f>
        <v>860.09285714285716</v>
      </c>
      <c r="X128" s="75" t="s">
        <v>88</v>
      </c>
      <c r="Y128" s="76">
        <f>Y122*68+Y123*73+Y124*24+Y125*60+Y126*112+Y127*45</f>
        <v>860.09285714285716</v>
      </c>
      <c r="Z128" s="77" t="s">
        <v>71</v>
      </c>
      <c r="AA128" s="78"/>
      <c r="AB128" s="78"/>
      <c r="AC128" s="78"/>
      <c r="AD128" s="79"/>
    </row>
    <row r="129" spans="1:30" ht="16.149999999999999" customHeight="1" thickBot="1">
      <c r="A129" s="251">
        <f>A121+1</f>
        <v>43938</v>
      </c>
      <c r="B129" s="243"/>
      <c r="C129" s="244"/>
      <c r="D129" s="255"/>
      <c r="E129" s="256"/>
      <c r="F129" s="243"/>
      <c r="G129" s="252"/>
      <c r="H129" s="243"/>
      <c r="I129" s="254"/>
      <c r="J129" s="255"/>
      <c r="K129" s="256"/>
      <c r="L129" s="243"/>
      <c r="M129" s="244"/>
      <c r="N129" s="16" t="s">
        <v>67</v>
      </c>
      <c r="O129" s="245" t="s">
        <v>73</v>
      </c>
      <c r="P129" s="246"/>
      <c r="Q129" s="247"/>
      <c r="R129" s="248" t="s">
        <v>74</v>
      </c>
      <c r="S129" s="249"/>
      <c r="T129" s="249"/>
      <c r="U129" s="250"/>
      <c r="W129" s="16" t="s">
        <v>67</v>
      </c>
      <c r="X129" s="245" t="s">
        <v>73</v>
      </c>
      <c r="Y129" s="246"/>
      <c r="Z129" s="247"/>
      <c r="AA129" s="248" t="s">
        <v>74</v>
      </c>
      <c r="AB129" s="249"/>
      <c r="AC129" s="249"/>
      <c r="AD129" s="250"/>
    </row>
    <row r="130" spans="1:30" ht="16.149999999999999" customHeight="1">
      <c r="A130" s="241"/>
      <c r="B130" s="85"/>
      <c r="C130" s="129"/>
      <c r="D130" s="85"/>
      <c r="E130" s="46"/>
      <c r="F130" s="29"/>
      <c r="G130" s="148"/>
      <c r="H130" s="41"/>
      <c r="I130" s="28"/>
      <c r="J130" s="118"/>
      <c r="K130" s="43"/>
      <c r="L130" s="125"/>
      <c r="M130" s="26"/>
      <c r="N130" s="33" t="e">
        <f>S131</f>
        <v>#REF!</v>
      </c>
      <c r="O130" s="17" t="s">
        <v>68</v>
      </c>
      <c r="P130" s="59">
        <f>G135/55+M130/20+M131/20</f>
        <v>0</v>
      </c>
      <c r="Q130" s="19" t="s">
        <v>69</v>
      </c>
      <c r="R130" s="86" t="s">
        <v>70</v>
      </c>
      <c r="S130" s="87" t="e">
        <f>P136</f>
        <v>#REF!</v>
      </c>
      <c r="T130" s="88" t="s">
        <v>71</v>
      </c>
      <c r="U130" s="105"/>
      <c r="W130" s="33">
        <f>AB131</f>
        <v>0</v>
      </c>
      <c r="X130" s="17" t="s">
        <v>68</v>
      </c>
      <c r="Y130" s="59">
        <f>M130/20+M131/20+G130/60+G131/90+C132/90</f>
        <v>0</v>
      </c>
      <c r="Z130" s="19" t="s">
        <v>69</v>
      </c>
      <c r="AA130" s="86" t="s">
        <v>70</v>
      </c>
      <c r="AB130" s="87">
        <f>Y136</f>
        <v>108</v>
      </c>
      <c r="AC130" s="88" t="s">
        <v>71</v>
      </c>
      <c r="AD130" s="105"/>
    </row>
    <row r="131" spans="1:30" ht="16.149999999999999" customHeight="1">
      <c r="A131" s="241"/>
      <c r="B131" s="144"/>
      <c r="C131" s="145"/>
      <c r="D131" s="85"/>
      <c r="E131" s="129"/>
      <c r="F131" s="85"/>
      <c r="G131" s="149"/>
      <c r="H131" s="56"/>
      <c r="I131" s="47"/>
      <c r="J131" s="61"/>
      <c r="K131" s="51"/>
      <c r="L131" s="32"/>
      <c r="M131" s="47"/>
      <c r="N131" s="49" t="s">
        <v>78</v>
      </c>
      <c r="O131" s="34" t="s">
        <v>75</v>
      </c>
      <c r="P131" s="35" t="e">
        <f>C130*0.58/40+E132/55+#REF!*0.52/35+#REF!/80</f>
        <v>#REF!</v>
      </c>
      <c r="Q131" s="36" t="s">
        <v>69</v>
      </c>
      <c r="R131" s="37" t="s">
        <v>76</v>
      </c>
      <c r="S131" s="38" t="e">
        <f>P130*15+P132*5+P133*15+P134*12</f>
        <v>#REF!</v>
      </c>
      <c r="T131" s="36" t="s">
        <v>77</v>
      </c>
      <c r="U131" s="39" t="e">
        <f>S131*4/S130</f>
        <v>#REF!</v>
      </c>
      <c r="W131" s="49" t="s">
        <v>78</v>
      </c>
      <c r="X131" s="34" t="s">
        <v>75</v>
      </c>
      <c r="Y131" s="35">
        <f>C130*0.6/40+E130/35+K131*0.65/35</f>
        <v>0</v>
      </c>
      <c r="Z131" s="36" t="s">
        <v>69</v>
      </c>
      <c r="AA131" s="37" t="s">
        <v>76</v>
      </c>
      <c r="AB131" s="38">
        <f>Y130*15+Y132*5+Y133*15+Y134*12</f>
        <v>0</v>
      </c>
      <c r="AC131" s="36" t="s">
        <v>77</v>
      </c>
      <c r="AD131" s="39">
        <f>AB131*4/AB130</f>
        <v>0</v>
      </c>
    </row>
    <row r="132" spans="1:30" ht="16.149999999999999" customHeight="1">
      <c r="A132" s="241"/>
      <c r="B132" s="56"/>
      <c r="C132" s="51"/>
      <c r="D132" s="45"/>
      <c r="E132" s="46"/>
      <c r="F132" s="85"/>
      <c r="G132" s="149"/>
      <c r="H132" s="56"/>
      <c r="I132" s="47"/>
      <c r="J132" s="160"/>
      <c r="K132" s="107"/>
      <c r="L132" s="45"/>
      <c r="M132" s="57"/>
      <c r="N132" s="33" t="e">
        <f>S132</f>
        <v>#REF!</v>
      </c>
      <c r="O132" s="50" t="s">
        <v>79</v>
      </c>
      <c r="P132" s="35" t="e">
        <f>(E130+E131+E132+E133+#REF!+#REF!+I130+#REF!+#REF!)/100</f>
        <v>#REF!</v>
      </c>
      <c r="Q132" s="36" t="s">
        <v>69</v>
      </c>
      <c r="R132" s="37" t="s">
        <v>80</v>
      </c>
      <c r="S132" s="38" t="e">
        <f>P131*5+P134*4+P135*5</f>
        <v>#REF!</v>
      </c>
      <c r="T132" s="36" t="s">
        <v>77</v>
      </c>
      <c r="U132" s="39" t="e">
        <f>S132*9/S130</f>
        <v>#REF!</v>
      </c>
      <c r="W132" s="33">
        <f>AB132</f>
        <v>12</v>
      </c>
      <c r="X132" s="50" t="s">
        <v>79</v>
      </c>
      <c r="Y132" s="35">
        <f>(C133+E131+E132+E133+I130+K130)/100</f>
        <v>0</v>
      </c>
      <c r="Z132" s="36" t="s">
        <v>69</v>
      </c>
      <c r="AA132" s="37" t="s">
        <v>80</v>
      </c>
      <c r="AB132" s="38">
        <f>Y131*5+Y134*4+Y135*5</f>
        <v>12</v>
      </c>
      <c r="AC132" s="36" t="s">
        <v>77</v>
      </c>
      <c r="AD132" s="39">
        <f>AB132*9/AB130</f>
        <v>1</v>
      </c>
    </row>
    <row r="133" spans="1:30" ht="16.149999999999999" customHeight="1">
      <c r="A133" s="241"/>
      <c r="B133" s="56"/>
      <c r="C133" s="51"/>
      <c r="D133" s="44"/>
      <c r="E133" s="24"/>
      <c r="F133" s="85"/>
      <c r="G133" s="149"/>
      <c r="H133" s="32"/>
      <c r="I133" s="47"/>
      <c r="J133" s="61"/>
      <c r="K133" s="51"/>
      <c r="L133" s="56"/>
      <c r="M133" s="120"/>
      <c r="N133" s="49" t="s">
        <v>83</v>
      </c>
      <c r="O133" s="58" t="s">
        <v>81</v>
      </c>
      <c r="P133" s="59">
        <v>0</v>
      </c>
      <c r="Q133" s="36" t="s">
        <v>69</v>
      </c>
      <c r="R133" s="37" t="s">
        <v>82</v>
      </c>
      <c r="S133" s="38" t="e">
        <f>P130*2+P131*7+P132*1+P134*8</f>
        <v>#REF!</v>
      </c>
      <c r="T133" s="36" t="s">
        <v>77</v>
      </c>
      <c r="U133" s="39" t="e">
        <f>S133*4/S130</f>
        <v>#REF!</v>
      </c>
      <c r="W133" s="49" t="s">
        <v>83</v>
      </c>
      <c r="X133" s="64" t="s">
        <v>81</v>
      </c>
      <c r="Y133" s="59">
        <v>0</v>
      </c>
      <c r="Z133" s="36" t="s">
        <v>69</v>
      </c>
      <c r="AA133" s="37" t="s">
        <v>82</v>
      </c>
      <c r="AB133" s="38">
        <f>Y130*2+Y131*7+Y132*1+Y134*8</f>
        <v>0</v>
      </c>
      <c r="AC133" s="36" t="s">
        <v>77</v>
      </c>
      <c r="AD133" s="39">
        <f>AB133*4/AB130</f>
        <v>0</v>
      </c>
    </row>
    <row r="134" spans="1:30" ht="16.149999999999999" customHeight="1">
      <c r="A134" s="241" t="s">
        <v>101</v>
      </c>
      <c r="B134" s="44"/>
      <c r="C134" s="24"/>
      <c r="D134" s="62"/>
      <c r="E134" s="63"/>
      <c r="F134" s="85"/>
      <c r="G134" s="149"/>
      <c r="H134" s="32"/>
      <c r="I134" s="47"/>
      <c r="J134" s="67"/>
      <c r="K134" s="63"/>
      <c r="L134" s="56"/>
      <c r="M134" s="120"/>
      <c r="N134" s="33" t="e">
        <f>S133</f>
        <v>#REF!</v>
      </c>
      <c r="O134" s="64" t="s">
        <v>84</v>
      </c>
      <c r="P134" s="59">
        <v>0</v>
      </c>
      <c r="Q134" s="36" t="s">
        <v>69</v>
      </c>
      <c r="R134" s="65"/>
      <c r="S134" s="65"/>
      <c r="T134" s="65"/>
      <c r="U134" s="66" t="e">
        <f>SUM(U131:U133)</f>
        <v>#REF!</v>
      </c>
      <c r="W134" s="33">
        <f>AB133</f>
        <v>0</v>
      </c>
      <c r="X134" s="64" t="s">
        <v>84</v>
      </c>
      <c r="Y134" s="59">
        <v>0</v>
      </c>
      <c r="Z134" s="36" t="s">
        <v>69</v>
      </c>
      <c r="AA134" s="65"/>
      <c r="AB134" s="65"/>
      <c r="AC134" s="65"/>
      <c r="AD134" s="66">
        <f>SUM(AD131:AD133)</f>
        <v>1</v>
      </c>
    </row>
    <row r="135" spans="1:30" ht="16.149999999999999" customHeight="1">
      <c r="A135" s="241"/>
      <c r="B135" s="44"/>
      <c r="C135" s="24"/>
      <c r="D135" s="52"/>
      <c r="E135" s="53"/>
      <c r="F135" s="62"/>
      <c r="G135" s="100"/>
      <c r="H135" s="126"/>
      <c r="I135" s="57"/>
      <c r="J135" s="142"/>
      <c r="K135" s="150"/>
      <c r="L135" s="56"/>
      <c r="M135" s="120"/>
      <c r="N135" s="49" t="s">
        <v>87</v>
      </c>
      <c r="O135" s="70" t="s">
        <v>86</v>
      </c>
      <c r="P135" s="59">
        <v>2.5</v>
      </c>
      <c r="Q135" s="36" t="s">
        <v>69</v>
      </c>
      <c r="R135" s="71"/>
      <c r="S135" s="71"/>
      <c r="T135" s="71"/>
      <c r="U135" s="72"/>
      <c r="W135" s="49" t="s">
        <v>87</v>
      </c>
      <c r="X135" s="70" t="s">
        <v>86</v>
      </c>
      <c r="Y135" s="59">
        <v>2.4</v>
      </c>
      <c r="Z135" s="36" t="s">
        <v>69</v>
      </c>
      <c r="AA135" s="71"/>
      <c r="AB135" s="71"/>
      <c r="AC135" s="71"/>
      <c r="AD135" s="72"/>
    </row>
    <row r="136" spans="1:30" ht="16.149999999999999" customHeight="1" thickBot="1">
      <c r="A136" s="242"/>
      <c r="B136" s="234"/>
      <c r="C136" s="235"/>
      <c r="D136" s="234"/>
      <c r="E136" s="235"/>
      <c r="F136" s="234"/>
      <c r="G136" s="235"/>
      <c r="H136" s="234"/>
      <c r="I136" s="235"/>
      <c r="J136" s="234"/>
      <c r="K136" s="235"/>
      <c r="L136" s="234"/>
      <c r="M136" s="235"/>
      <c r="N136" s="80" t="e">
        <f>P136</f>
        <v>#REF!</v>
      </c>
      <c r="O136" s="75" t="s">
        <v>88</v>
      </c>
      <c r="P136" s="76" t="e">
        <f>P130*68+P131*73+P132*24+P133*60+P134*112+P135*45</f>
        <v>#REF!</v>
      </c>
      <c r="Q136" s="77" t="s">
        <v>71</v>
      </c>
      <c r="R136" s="78"/>
      <c r="S136" s="78"/>
      <c r="T136" s="78"/>
      <c r="U136" s="79"/>
      <c r="W136" s="80">
        <f>Y136</f>
        <v>108</v>
      </c>
      <c r="X136" s="75" t="s">
        <v>88</v>
      </c>
      <c r="Y136" s="76">
        <f>Y130*68+Y131*73+Y132*24+Y133*60+Y134*112+Y135*45</f>
        <v>108</v>
      </c>
      <c r="Z136" s="77" t="s">
        <v>71</v>
      </c>
      <c r="AA136" s="78"/>
      <c r="AB136" s="78"/>
      <c r="AC136" s="78"/>
      <c r="AD136" s="79"/>
    </row>
    <row r="137" spans="1:30">
      <c r="A137" s="236" t="s">
        <v>102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</row>
    <row r="138" spans="1:30" ht="16.149999999999999" customHeight="1">
      <c r="A138" s="238" t="s">
        <v>103</v>
      </c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</row>
    <row r="139" spans="1:30">
      <c r="A139" s="239" t="s">
        <v>104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</row>
    <row r="140" spans="1:30" ht="16.149999999999999" customHeight="1">
      <c r="A140" s="240" t="s">
        <v>105</v>
      </c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</row>
    <row r="141" spans="1:30">
      <c r="A141" s="233" t="s">
        <v>106</v>
      </c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</row>
    <row r="142" spans="1:30" ht="22.6" thickBot="1">
      <c r="A142" s="266" t="s">
        <v>391</v>
      </c>
      <c r="B142" s="266"/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</row>
    <row r="143" spans="1:30" ht="32.799999999999997" thickBot="1">
      <c r="A143" s="127" t="s">
        <v>58</v>
      </c>
      <c r="B143" s="15" t="s">
        <v>59</v>
      </c>
      <c r="C143" s="14" t="s">
        <v>60</v>
      </c>
      <c r="D143" s="15" t="s">
        <v>61</v>
      </c>
      <c r="E143" s="14" t="s">
        <v>60</v>
      </c>
      <c r="F143" s="15" t="s">
        <v>61</v>
      </c>
      <c r="G143" s="14" t="s">
        <v>60</v>
      </c>
      <c r="H143" s="15" t="s">
        <v>61</v>
      </c>
      <c r="I143" s="14" t="s">
        <v>60</v>
      </c>
      <c r="J143" s="15" t="s">
        <v>63</v>
      </c>
      <c r="K143" s="14" t="s">
        <v>60</v>
      </c>
      <c r="L143" s="15" t="s">
        <v>64</v>
      </c>
      <c r="M143" s="14" t="s">
        <v>60</v>
      </c>
      <c r="N143" s="14" t="s">
        <v>65</v>
      </c>
      <c r="O143" s="262" t="s">
        <v>66</v>
      </c>
      <c r="P143" s="263"/>
      <c r="Q143" s="263"/>
      <c r="R143" s="263"/>
      <c r="S143" s="263"/>
      <c r="T143" s="263"/>
      <c r="U143" s="264"/>
      <c r="W143" s="14" t="s">
        <v>65</v>
      </c>
      <c r="X143" s="262" t="s">
        <v>66</v>
      </c>
      <c r="Y143" s="263"/>
      <c r="Z143" s="263"/>
      <c r="AA143" s="263"/>
      <c r="AB143" s="263"/>
      <c r="AC143" s="263"/>
      <c r="AD143" s="264"/>
    </row>
    <row r="144" spans="1:30" ht="16.149999999999999" customHeight="1" thickBot="1">
      <c r="A144" s="251">
        <f>A129+3</f>
        <v>43941</v>
      </c>
      <c r="B144" s="255" t="s">
        <v>218</v>
      </c>
      <c r="C144" s="256"/>
      <c r="D144" s="261" t="s">
        <v>175</v>
      </c>
      <c r="E144" s="256"/>
      <c r="F144" s="265" t="s">
        <v>219</v>
      </c>
      <c r="G144" s="252"/>
      <c r="H144" s="243" t="s">
        <v>90</v>
      </c>
      <c r="I144" s="254"/>
      <c r="J144" s="243" t="s">
        <v>407</v>
      </c>
      <c r="K144" s="254"/>
      <c r="L144" s="258" t="s">
        <v>157</v>
      </c>
      <c r="M144" s="259"/>
      <c r="N144" s="16" t="s">
        <v>67</v>
      </c>
      <c r="O144" s="17" t="s">
        <v>68</v>
      </c>
      <c r="P144" s="18">
        <f>C145/65+G145/55+G146/90+K59/20+M145/20+M146/20</f>
        <v>10.098679098679099</v>
      </c>
      <c r="Q144" s="19" t="s">
        <v>69</v>
      </c>
      <c r="R144" s="20" t="s">
        <v>70</v>
      </c>
      <c r="S144" s="21">
        <f>P150</f>
        <v>929.86082806082811</v>
      </c>
      <c r="T144" s="19" t="s">
        <v>71</v>
      </c>
      <c r="U144" s="22" t="s">
        <v>72</v>
      </c>
      <c r="W144" s="16" t="s">
        <v>67</v>
      </c>
      <c r="X144" s="245" t="s">
        <v>73</v>
      </c>
      <c r="Y144" s="246"/>
      <c r="Z144" s="247"/>
      <c r="AA144" s="248" t="s">
        <v>74</v>
      </c>
      <c r="AB144" s="249"/>
      <c r="AC144" s="249"/>
      <c r="AD144" s="250"/>
    </row>
    <row r="145" spans="1:30" ht="16.149999999999999" customHeight="1">
      <c r="A145" s="241"/>
      <c r="B145" s="23" t="s">
        <v>263</v>
      </c>
      <c r="C145" s="24">
        <v>55</v>
      </c>
      <c r="D145" s="67" t="s">
        <v>299</v>
      </c>
      <c r="E145" s="68">
        <v>35</v>
      </c>
      <c r="F145" s="25" t="s">
        <v>293</v>
      </c>
      <c r="G145" s="26">
        <v>20</v>
      </c>
      <c r="H145" s="29" t="s">
        <v>216</v>
      </c>
      <c r="I145" s="30">
        <v>100</v>
      </c>
      <c r="J145" t="s">
        <v>410</v>
      </c>
      <c r="K145" s="30">
        <v>15</v>
      </c>
      <c r="L145" s="25" t="s">
        <v>91</v>
      </c>
      <c r="M145" s="26">
        <v>150</v>
      </c>
      <c r="N145" s="33">
        <f>S145</f>
        <v>157.98018648018649</v>
      </c>
      <c r="O145" s="34" t="s">
        <v>75</v>
      </c>
      <c r="P145" s="35">
        <f>C147/55+E145/50+E146/35+K62/35</f>
        <v>1.3623376623376622</v>
      </c>
      <c r="Q145" s="36" t="s">
        <v>69</v>
      </c>
      <c r="R145" s="37" t="s">
        <v>76</v>
      </c>
      <c r="S145" s="38">
        <f>P144*15+P146*5+P147*15+P148*12</f>
        <v>157.98018648018649</v>
      </c>
      <c r="T145" s="36" t="s">
        <v>77</v>
      </c>
      <c r="U145" s="39">
        <f>S145*4/S144</f>
        <v>0.6795863712622251</v>
      </c>
      <c r="W145" s="33">
        <f>AB146</f>
        <v>128.56428571428572</v>
      </c>
      <c r="X145" s="40" t="s">
        <v>68</v>
      </c>
      <c r="Y145" s="18">
        <f>M145/20+E147/70+K146/30</f>
        <v>7.8476190476190473</v>
      </c>
      <c r="Z145" s="19" t="s">
        <v>69</v>
      </c>
      <c r="AA145" s="20" t="s">
        <v>70</v>
      </c>
      <c r="AB145" s="21">
        <f>Y151</f>
        <v>905.72621212121214</v>
      </c>
      <c r="AC145" s="19" t="s">
        <v>71</v>
      </c>
      <c r="AD145" s="22" t="s">
        <v>72</v>
      </c>
    </row>
    <row r="146" spans="1:30" ht="16.149999999999999" customHeight="1">
      <c r="A146" s="241"/>
      <c r="B146" s="44" t="s">
        <v>265</v>
      </c>
      <c r="C146" s="24">
        <v>15</v>
      </c>
      <c r="D146" s="128" t="s">
        <v>330</v>
      </c>
      <c r="E146" s="132">
        <v>20</v>
      </c>
      <c r="F146" s="45" t="s">
        <v>331</v>
      </c>
      <c r="G146" s="46">
        <v>35</v>
      </c>
      <c r="H146" s="45"/>
      <c r="I146" s="48"/>
      <c r="J146" t="s">
        <v>411</v>
      </c>
      <c r="K146" s="129">
        <v>10</v>
      </c>
      <c r="L146" s="56"/>
      <c r="M146" s="47"/>
      <c r="N146" s="49" t="s">
        <v>78</v>
      </c>
      <c r="O146" s="50" t="s">
        <v>79</v>
      </c>
      <c r="P146" s="35">
        <f>(C146+I145+K60+K61+K63)/100</f>
        <v>1.3</v>
      </c>
      <c r="Q146" s="36" t="s">
        <v>69</v>
      </c>
      <c r="R146" s="37" t="s">
        <v>80</v>
      </c>
      <c r="S146" s="38">
        <f>P145*5+P148*4+P149*5</f>
        <v>19.311688311688311</v>
      </c>
      <c r="T146" s="36" t="s">
        <v>77</v>
      </c>
      <c r="U146" s="39">
        <f>S146*9/S144</f>
        <v>0.18691527759875168</v>
      </c>
      <c r="W146" s="49" t="s">
        <v>78</v>
      </c>
      <c r="X146" s="34" t="s">
        <v>75</v>
      </c>
      <c r="Y146" s="35">
        <f>C145/35+E145/55+G145/35+K60/80</f>
        <v>2.904220779220779</v>
      </c>
      <c r="Z146" s="36" t="s">
        <v>69</v>
      </c>
      <c r="AA146" s="37" t="s">
        <v>76</v>
      </c>
      <c r="AB146" s="38">
        <f>Y145*15+Y147*5+Y148*15+Y149*12</f>
        <v>128.56428571428572</v>
      </c>
      <c r="AC146" s="36" t="s">
        <v>77</v>
      </c>
      <c r="AD146" s="39">
        <f>AB146*4/AB145</f>
        <v>0.56778432154762515</v>
      </c>
    </row>
    <row r="147" spans="1:30" ht="16.149999999999999" customHeight="1">
      <c r="A147" s="241"/>
      <c r="B147" s="54" t="s">
        <v>313</v>
      </c>
      <c r="C147" s="46">
        <v>5</v>
      </c>
      <c r="D147" s="142" t="s">
        <v>280</v>
      </c>
      <c r="E147" s="100">
        <v>1</v>
      </c>
      <c r="F147" s="45" t="s">
        <v>313</v>
      </c>
      <c r="G147" s="46">
        <v>3</v>
      </c>
      <c r="H147" s="55"/>
      <c r="I147" s="46"/>
      <c r="J147" t="s">
        <v>402</v>
      </c>
      <c r="K147" s="129">
        <v>3</v>
      </c>
      <c r="L147" s="32"/>
      <c r="M147" s="47"/>
      <c r="N147" s="33">
        <f>S146</f>
        <v>19.311688311688311</v>
      </c>
      <c r="O147" s="58" t="s">
        <v>81</v>
      </c>
      <c r="P147" s="59">
        <v>0</v>
      </c>
      <c r="Q147" s="36" t="s">
        <v>69</v>
      </c>
      <c r="R147" s="37" t="s">
        <v>82</v>
      </c>
      <c r="S147" s="38">
        <f>P144*2+P145*7+P146*1+P148*8</f>
        <v>31.033721833721835</v>
      </c>
      <c r="T147" s="36" t="s">
        <v>77</v>
      </c>
      <c r="U147" s="39">
        <f>S147*4/S144</f>
        <v>0.13349835113902322</v>
      </c>
      <c r="W147" s="33">
        <f>AB147</f>
        <v>26.521103896103895</v>
      </c>
      <c r="X147" s="50" t="s">
        <v>79</v>
      </c>
      <c r="Y147" s="35">
        <f>(C146+C147+E146+E147+G146+G147+I145+K59+K145+K147)/100</f>
        <v>2.17</v>
      </c>
      <c r="Z147" s="36" t="s">
        <v>69</v>
      </c>
      <c r="AA147" s="37" t="s">
        <v>80</v>
      </c>
      <c r="AB147" s="38">
        <f>Y146*5+Y149*4+Y150*5</f>
        <v>26.521103896103895</v>
      </c>
      <c r="AC147" s="36" t="s">
        <v>77</v>
      </c>
      <c r="AD147" s="39">
        <f>AB147*9/AB145</f>
        <v>0.26353431298617591</v>
      </c>
    </row>
    <row r="148" spans="1:30" ht="16.149999999999999" customHeight="1">
      <c r="A148" s="241"/>
      <c r="B148" s="44"/>
      <c r="C148" s="24"/>
      <c r="D148" s="128"/>
      <c r="E148" s="100"/>
      <c r="F148" s="55"/>
      <c r="G148" s="46"/>
      <c r="H148" s="55"/>
      <c r="I148" s="46"/>
      <c r="L148" s="62"/>
      <c r="M148" s="63"/>
      <c r="N148" s="49" t="s">
        <v>83</v>
      </c>
      <c r="O148" s="64" t="s">
        <v>84</v>
      </c>
      <c r="P148" s="59">
        <v>0</v>
      </c>
      <c r="Q148" s="36" t="s">
        <v>69</v>
      </c>
      <c r="R148" s="65"/>
      <c r="S148" s="65"/>
      <c r="T148" s="65"/>
      <c r="U148" s="66">
        <f>SUM(U145:U147)</f>
        <v>1</v>
      </c>
      <c r="W148" s="49" t="s">
        <v>83</v>
      </c>
      <c r="X148" s="64" t="s">
        <v>81</v>
      </c>
      <c r="Y148" s="59">
        <v>0</v>
      </c>
      <c r="Z148" s="36" t="s">
        <v>69</v>
      </c>
      <c r="AA148" s="37" t="s">
        <v>82</v>
      </c>
      <c r="AB148" s="38">
        <f>Y145*2+Y146*7+Y147*1+Y149*8</f>
        <v>38.194783549783551</v>
      </c>
      <c r="AC148" s="36" t="s">
        <v>77</v>
      </c>
      <c r="AD148" s="39">
        <f>AB148*4/AB145</f>
        <v>0.16868136546619894</v>
      </c>
    </row>
    <row r="149" spans="1:30" ht="16.149999999999999" customHeight="1">
      <c r="A149" s="241" t="s">
        <v>85</v>
      </c>
      <c r="B149" s="55"/>
      <c r="C149" s="24"/>
      <c r="F149" s="62"/>
      <c r="G149" s="63"/>
      <c r="H149" s="55"/>
      <c r="I149" s="46"/>
      <c r="L149" s="55"/>
      <c r="M149" s="47"/>
      <c r="N149" s="33">
        <f>S147</f>
        <v>31.033721833721835</v>
      </c>
      <c r="O149" s="70" t="s">
        <v>86</v>
      </c>
      <c r="P149" s="59">
        <v>2.5</v>
      </c>
      <c r="Q149" s="36" t="s">
        <v>69</v>
      </c>
      <c r="R149" s="71"/>
      <c r="S149" s="71"/>
      <c r="T149" s="71"/>
      <c r="U149" s="72"/>
      <c r="W149" s="33">
        <f>AB148</f>
        <v>38.194783549783551</v>
      </c>
      <c r="X149" s="64" t="s">
        <v>84</v>
      </c>
      <c r="Y149" s="59">
        <v>0</v>
      </c>
      <c r="Z149" s="36" t="s">
        <v>69</v>
      </c>
      <c r="AA149" s="65"/>
      <c r="AB149" s="65"/>
      <c r="AC149" s="65"/>
      <c r="AD149" s="66">
        <f>SUM(AD146:AD148)</f>
        <v>1</v>
      </c>
    </row>
    <row r="150" spans="1:30" ht="16.149999999999999" customHeight="1" thickBot="1">
      <c r="A150" s="241"/>
      <c r="B150" s="62"/>
      <c r="C150" s="63"/>
      <c r="D150" s="67"/>
      <c r="E150" s="68"/>
      <c r="F150" s="62"/>
      <c r="G150" s="63"/>
      <c r="H150" s="55"/>
      <c r="I150" s="46"/>
      <c r="L150" s="32"/>
      <c r="M150" s="47"/>
      <c r="N150" s="49" t="s">
        <v>87</v>
      </c>
      <c r="O150" s="75" t="s">
        <v>88</v>
      </c>
      <c r="P150" s="76">
        <f>P144*68+P145*73+P146*24+P147*60+P148*112+P149*45</f>
        <v>929.86082806082811</v>
      </c>
      <c r="Q150" s="77" t="s">
        <v>71</v>
      </c>
      <c r="R150" s="78"/>
      <c r="S150" s="78"/>
      <c r="T150" s="78"/>
      <c r="U150" s="79"/>
      <c r="W150" s="49" t="s">
        <v>87</v>
      </c>
      <c r="X150" s="70" t="s">
        <v>86</v>
      </c>
      <c r="Y150" s="59">
        <v>2.4</v>
      </c>
      <c r="Z150" s="36" t="s">
        <v>69</v>
      </c>
      <c r="AA150" s="71"/>
      <c r="AB150" s="71"/>
      <c r="AC150" s="71"/>
      <c r="AD150" s="72"/>
    </row>
    <row r="151" spans="1:30" ht="16.149999999999999" customHeight="1" thickBot="1">
      <c r="A151" s="242"/>
      <c r="B151" s="257" t="s">
        <v>108</v>
      </c>
      <c r="C151" s="235"/>
      <c r="D151" s="257" t="s">
        <v>201</v>
      </c>
      <c r="E151" s="257"/>
      <c r="F151" s="234" t="s">
        <v>201</v>
      </c>
      <c r="G151" s="235"/>
      <c r="H151" s="234" t="s">
        <v>96</v>
      </c>
      <c r="I151" s="235"/>
      <c r="J151" s="234"/>
      <c r="K151" s="235"/>
      <c r="L151" s="234" t="s">
        <v>97</v>
      </c>
      <c r="M151" s="235"/>
      <c r="N151" s="80">
        <f>P150</f>
        <v>929.86082806082811</v>
      </c>
      <c r="O151" s="81"/>
      <c r="P151" s="82"/>
      <c r="Q151" s="82"/>
      <c r="R151" s="82"/>
      <c r="S151" s="82"/>
      <c r="T151" s="82"/>
      <c r="U151" s="83"/>
      <c r="W151" s="80">
        <f>Y151</f>
        <v>905.72621212121214</v>
      </c>
      <c r="X151" s="75" t="s">
        <v>88</v>
      </c>
      <c r="Y151" s="76">
        <f>Y145*68+Y146*73+Y147*24+Y148*60+Y149*112+Y150*45</f>
        <v>905.72621212121214</v>
      </c>
      <c r="Z151" s="77" t="s">
        <v>71</v>
      </c>
      <c r="AA151" s="78"/>
      <c r="AB151" s="78"/>
      <c r="AC151" s="78"/>
      <c r="AD151" s="79"/>
    </row>
    <row r="152" spans="1:30" ht="16.149999999999999" customHeight="1" thickBot="1">
      <c r="A152" s="251">
        <f>A144+1</f>
        <v>43942</v>
      </c>
      <c r="B152" s="243" t="s">
        <v>221</v>
      </c>
      <c r="C152" s="252"/>
      <c r="D152" s="255" t="s">
        <v>169</v>
      </c>
      <c r="E152" s="256"/>
      <c r="F152" s="243" t="s">
        <v>421</v>
      </c>
      <c r="G152" s="252"/>
      <c r="H152" s="243" t="s">
        <v>90</v>
      </c>
      <c r="I152" s="254"/>
      <c r="J152" s="243" t="s">
        <v>222</v>
      </c>
      <c r="K152" s="244"/>
      <c r="L152" s="253" t="s">
        <v>178</v>
      </c>
      <c r="M152" s="244"/>
      <c r="N152" s="16" t="s">
        <v>67</v>
      </c>
      <c r="O152" s="245" t="s">
        <v>73</v>
      </c>
      <c r="P152" s="246"/>
      <c r="Q152" s="247"/>
      <c r="R152" s="248" t="s">
        <v>74</v>
      </c>
      <c r="S152" s="249"/>
      <c r="T152" s="249"/>
      <c r="U152" s="250"/>
      <c r="W152" s="16" t="s">
        <v>67</v>
      </c>
      <c r="X152" s="245" t="s">
        <v>73</v>
      </c>
      <c r="Y152" s="246"/>
      <c r="Z152" s="247"/>
      <c r="AA152" s="248" t="s">
        <v>74</v>
      </c>
      <c r="AB152" s="249"/>
      <c r="AC152" s="249"/>
      <c r="AD152" s="250"/>
    </row>
    <row r="153" spans="1:30" ht="16.149999999999999" customHeight="1">
      <c r="A153" s="241"/>
      <c r="B153" s="45" t="s">
        <v>334</v>
      </c>
      <c r="C153" s="47">
        <v>150</v>
      </c>
      <c r="D153" s="41" t="s">
        <v>333</v>
      </c>
      <c r="E153" s="42">
        <v>30</v>
      </c>
      <c r="F153" s="45" t="s">
        <v>422</v>
      </c>
      <c r="G153" s="48">
        <v>30</v>
      </c>
      <c r="H153" s="85" t="s">
        <v>202</v>
      </c>
      <c r="I153" s="30">
        <v>140</v>
      </c>
      <c r="J153" s="23" t="s">
        <v>310</v>
      </c>
      <c r="K153" s="43">
        <v>4</v>
      </c>
      <c r="L153" s="32" t="s">
        <v>91</v>
      </c>
      <c r="M153" s="26">
        <v>110</v>
      </c>
      <c r="N153" s="33" t="e">
        <f>S154</f>
        <v>#REF!</v>
      </c>
      <c r="O153" s="17" t="s">
        <v>68</v>
      </c>
      <c r="P153" s="59">
        <f>G153/20+M153/20+M154/55</f>
        <v>7.545454545454545</v>
      </c>
      <c r="Q153" s="19" t="s">
        <v>69</v>
      </c>
      <c r="R153" s="86" t="s">
        <v>70</v>
      </c>
      <c r="S153" s="87" t="e">
        <f>P159</f>
        <v>#REF!</v>
      </c>
      <c r="T153" s="88" t="s">
        <v>71</v>
      </c>
      <c r="U153" s="89" t="s">
        <v>72</v>
      </c>
      <c r="W153" s="33">
        <f>AB154</f>
        <v>125.44848484848487</v>
      </c>
      <c r="X153" s="17" t="s">
        <v>68</v>
      </c>
      <c r="Y153" s="18">
        <f>M153/20+M154/20+G154/90+G153/55</f>
        <v>7.8232323232323235</v>
      </c>
      <c r="Z153" s="19" t="s">
        <v>69</v>
      </c>
      <c r="AA153" s="86" t="s">
        <v>70</v>
      </c>
      <c r="AB153" s="87">
        <f>Y159</f>
        <v>877.12116161616166</v>
      </c>
      <c r="AC153" s="88" t="s">
        <v>71</v>
      </c>
      <c r="AD153" s="89" t="s">
        <v>72</v>
      </c>
    </row>
    <row r="154" spans="1:30" ht="16.149999999999999" customHeight="1">
      <c r="A154" s="241"/>
      <c r="B154" s="52" t="s">
        <v>273</v>
      </c>
      <c r="C154" s="53">
        <v>0.4</v>
      </c>
      <c r="D154" s="56" t="s">
        <v>335</v>
      </c>
      <c r="E154" s="51">
        <v>10</v>
      </c>
      <c r="F154" s="45" t="s">
        <v>329</v>
      </c>
      <c r="G154" s="48">
        <v>25</v>
      </c>
      <c r="H154" s="45"/>
      <c r="I154" s="48"/>
      <c r="J154" s="44" t="s">
        <v>338</v>
      </c>
      <c r="K154" s="24">
        <v>1</v>
      </c>
      <c r="L154" s="32" t="s">
        <v>189</v>
      </c>
      <c r="M154" s="47">
        <v>30</v>
      </c>
      <c r="N154" s="49" t="s">
        <v>78</v>
      </c>
      <c r="O154" s="34" t="s">
        <v>75</v>
      </c>
      <c r="P154" s="35" t="e">
        <f>C153/35+G156/35+#REF!/55+#REF!*0.65/35</f>
        <v>#REF!</v>
      </c>
      <c r="Q154" s="36" t="s">
        <v>69</v>
      </c>
      <c r="R154" s="37" t="s">
        <v>76</v>
      </c>
      <c r="S154" s="38" t="e">
        <f>P153*15+P155*5+P156*15+P157*12</f>
        <v>#REF!</v>
      </c>
      <c r="T154" s="36" t="s">
        <v>77</v>
      </c>
      <c r="U154" s="39" t="e">
        <f>S154*4/S153</f>
        <v>#REF!</v>
      </c>
      <c r="W154" s="49" t="s">
        <v>78</v>
      </c>
      <c r="X154" s="34" t="s">
        <v>75</v>
      </c>
      <c r="Y154" s="35">
        <f>C153*0.6/40+E153/80+E154/110</f>
        <v>2.7159090909090908</v>
      </c>
      <c r="Z154" s="36" t="s">
        <v>69</v>
      </c>
      <c r="AA154" s="37" t="s">
        <v>76</v>
      </c>
      <c r="AB154" s="38">
        <f>Y153*15+Y155*5+Y156*15+Y157*12</f>
        <v>125.44848484848487</v>
      </c>
      <c r="AC154" s="36" t="s">
        <v>77</v>
      </c>
      <c r="AD154" s="39">
        <f>AB154*4/AB153</f>
        <v>0.57209193136937486</v>
      </c>
    </row>
    <row r="155" spans="1:30" ht="16.149999999999999" customHeight="1">
      <c r="A155" s="241"/>
      <c r="B155" s="56"/>
      <c r="C155" s="51"/>
      <c r="D155" s="56" t="s">
        <v>294</v>
      </c>
      <c r="E155" s="51">
        <v>10</v>
      </c>
      <c r="F155" s="45"/>
      <c r="G155" s="48"/>
      <c r="H155" s="55"/>
      <c r="I155" s="46"/>
      <c r="J155" s="56"/>
      <c r="K155" s="47"/>
      <c r="L155" s="130"/>
      <c r="M155" s="110"/>
      <c r="N155" s="33" t="e">
        <f>S155</f>
        <v>#REF!</v>
      </c>
      <c r="O155" s="50" t="s">
        <v>79</v>
      </c>
      <c r="P155" s="35" t="e">
        <f>(C154+G154+G155+E153+E154+E155+#REF!+I153+#REF!)/100</f>
        <v>#REF!</v>
      </c>
      <c r="Q155" s="36" t="s">
        <v>69</v>
      </c>
      <c r="R155" s="37" t="s">
        <v>80</v>
      </c>
      <c r="S155" s="38" t="e">
        <f>P154*5+P157*4+P158*5</f>
        <v>#REF!</v>
      </c>
      <c r="T155" s="36" t="s">
        <v>77</v>
      </c>
      <c r="U155" s="39" t="e">
        <f>S155*9/S153</f>
        <v>#REF!</v>
      </c>
      <c r="W155" s="33">
        <f>AB155</f>
        <v>25.579545454545453</v>
      </c>
      <c r="X155" s="50" t="s">
        <v>79</v>
      </c>
      <c r="Y155" s="35">
        <f>(E155+E156+E157+I153+K153+K154)/100</f>
        <v>1.62</v>
      </c>
      <c r="Z155" s="36" t="s">
        <v>69</v>
      </c>
      <c r="AA155" s="37" t="s">
        <v>80</v>
      </c>
      <c r="AB155" s="38">
        <f>Y154*5+Y157*4+Y158*5</f>
        <v>25.579545454545453</v>
      </c>
      <c r="AC155" s="36" t="s">
        <v>77</v>
      </c>
      <c r="AD155" s="39">
        <f>AB155*9/AB153</f>
        <v>0.26246762609936231</v>
      </c>
    </row>
    <row r="156" spans="1:30" ht="16.149999999999999" customHeight="1">
      <c r="A156" s="241"/>
      <c r="B156" s="56"/>
      <c r="C156" s="51"/>
      <c r="D156" s="32" t="s">
        <v>328</v>
      </c>
      <c r="E156" s="51">
        <v>5</v>
      </c>
      <c r="F156" s="44"/>
      <c r="G156" s="24"/>
      <c r="H156" s="55"/>
      <c r="I156" s="46"/>
      <c r="J156" s="32"/>
      <c r="K156" s="47"/>
      <c r="L156" s="130"/>
      <c r="M156" s="110"/>
      <c r="N156" s="49" t="s">
        <v>83</v>
      </c>
      <c r="O156" s="58" t="s">
        <v>81</v>
      </c>
      <c r="P156" s="59">
        <v>0</v>
      </c>
      <c r="Q156" s="36" t="s">
        <v>69</v>
      </c>
      <c r="R156" s="37" t="s">
        <v>82</v>
      </c>
      <c r="S156" s="38" t="e">
        <f>P153*2+P154*7+P155*1+P157*8</f>
        <v>#REF!</v>
      </c>
      <c r="T156" s="36" t="s">
        <v>77</v>
      </c>
      <c r="U156" s="39" t="e">
        <f>S156*4/S153</f>
        <v>#REF!</v>
      </c>
      <c r="W156" s="49" t="s">
        <v>83</v>
      </c>
      <c r="X156" s="64" t="s">
        <v>81</v>
      </c>
      <c r="Y156" s="59">
        <v>0</v>
      </c>
      <c r="Z156" s="36" t="s">
        <v>69</v>
      </c>
      <c r="AA156" s="37" t="s">
        <v>82</v>
      </c>
      <c r="AB156" s="38">
        <f>Y153*2+Y154*7+Y155*1+Y157*8</f>
        <v>36.277828282828281</v>
      </c>
      <c r="AC156" s="36" t="s">
        <v>77</v>
      </c>
      <c r="AD156" s="39">
        <f>AB156*4/AB153</f>
        <v>0.16544044253126286</v>
      </c>
    </row>
    <row r="157" spans="1:30" ht="16.149999999999999" customHeight="1">
      <c r="A157" s="241" t="s">
        <v>89</v>
      </c>
      <c r="B157" s="44"/>
      <c r="C157" s="24"/>
      <c r="D157" s="44" t="s">
        <v>336</v>
      </c>
      <c r="E157" s="24">
        <v>2</v>
      </c>
      <c r="F157" s="44"/>
      <c r="G157" s="24"/>
      <c r="H157" s="55"/>
      <c r="I157" s="46"/>
      <c r="J157" s="32"/>
      <c r="K157" s="47"/>
      <c r="L157" s="130"/>
      <c r="M157" s="110"/>
      <c r="N157" s="33" t="e">
        <f>S156</f>
        <v>#REF!</v>
      </c>
      <c r="O157" s="64" t="s">
        <v>84</v>
      </c>
      <c r="P157" s="59">
        <v>0</v>
      </c>
      <c r="Q157" s="36" t="s">
        <v>69</v>
      </c>
      <c r="R157" s="65"/>
      <c r="S157" s="65"/>
      <c r="T157" s="65"/>
      <c r="U157" s="66" t="e">
        <f>SUM(U154:U156)</f>
        <v>#REF!</v>
      </c>
      <c r="W157" s="33">
        <f>AB156</f>
        <v>36.277828282828281</v>
      </c>
      <c r="X157" s="64" t="s">
        <v>84</v>
      </c>
      <c r="Y157" s="59">
        <v>0</v>
      </c>
      <c r="Z157" s="36" t="s">
        <v>69</v>
      </c>
      <c r="AA157" s="65"/>
      <c r="AB157" s="65"/>
      <c r="AC157" s="65"/>
      <c r="AD157" s="66">
        <f>SUM(AD154:AD156)</f>
        <v>1</v>
      </c>
    </row>
    <row r="158" spans="1:30" ht="16.149999999999999" customHeight="1">
      <c r="A158" s="241"/>
      <c r="B158" s="44"/>
      <c r="C158" s="24"/>
      <c r="F158" s="32"/>
      <c r="G158" s="47"/>
      <c r="H158" s="55"/>
      <c r="I158" s="46"/>
      <c r="J158" s="32"/>
      <c r="K158" s="47"/>
      <c r="L158" s="130"/>
      <c r="M158" s="110"/>
      <c r="N158" s="49" t="s">
        <v>87</v>
      </c>
      <c r="O158" s="70" t="s">
        <v>86</v>
      </c>
      <c r="P158" s="59">
        <v>2.5</v>
      </c>
      <c r="Q158" s="36" t="s">
        <v>69</v>
      </c>
      <c r="R158" s="71"/>
      <c r="S158" s="71"/>
      <c r="T158" s="71"/>
      <c r="U158" s="72"/>
      <c r="W158" s="49" t="s">
        <v>87</v>
      </c>
      <c r="X158" s="70" t="s">
        <v>86</v>
      </c>
      <c r="Y158" s="59">
        <v>2.4</v>
      </c>
      <c r="Z158" s="36" t="s">
        <v>69</v>
      </c>
      <c r="AA158" s="71"/>
      <c r="AB158" s="71"/>
      <c r="AC158" s="71"/>
      <c r="AD158" s="72"/>
    </row>
    <row r="159" spans="1:30" ht="16.149999999999999" customHeight="1" thickBot="1">
      <c r="A159" s="242"/>
      <c r="B159" s="234" t="s">
        <v>95</v>
      </c>
      <c r="C159" s="235"/>
      <c r="D159" s="234" t="s">
        <v>223</v>
      </c>
      <c r="E159" s="235"/>
      <c r="F159" s="234" t="s">
        <v>224</v>
      </c>
      <c r="G159" s="235"/>
      <c r="H159" s="234" t="s">
        <v>96</v>
      </c>
      <c r="I159" s="235"/>
      <c r="J159" s="234" t="s">
        <v>94</v>
      </c>
      <c r="K159" s="235"/>
      <c r="L159" s="234" t="s">
        <v>97</v>
      </c>
      <c r="M159" s="235"/>
      <c r="N159" s="80" t="e">
        <f>P159</f>
        <v>#REF!</v>
      </c>
      <c r="O159" s="75" t="s">
        <v>88</v>
      </c>
      <c r="P159" s="76" t="e">
        <f>P153*68+P154*73+P155*24+P156*60+P157*112+P158*45</f>
        <v>#REF!</v>
      </c>
      <c r="Q159" s="77" t="s">
        <v>71</v>
      </c>
      <c r="R159" s="78"/>
      <c r="S159" s="78"/>
      <c r="T159" s="78"/>
      <c r="U159" s="79"/>
      <c r="W159" s="80">
        <f>Y159</f>
        <v>877.12116161616166</v>
      </c>
      <c r="X159" s="75" t="s">
        <v>88</v>
      </c>
      <c r="Y159" s="76">
        <f>Y153*68+Y154*73+Y155*24+Y156*60+Y157*112+Y158*45</f>
        <v>877.12116161616166</v>
      </c>
      <c r="Z159" s="77" t="s">
        <v>71</v>
      </c>
      <c r="AA159" s="78"/>
      <c r="AB159" s="78"/>
      <c r="AC159" s="78"/>
      <c r="AD159" s="79"/>
    </row>
    <row r="160" spans="1:30" ht="16.149999999999999" customHeight="1" thickBot="1">
      <c r="A160" s="251">
        <f>A152+1</f>
        <v>43943</v>
      </c>
      <c r="B160" s="255" t="s">
        <v>225</v>
      </c>
      <c r="C160" s="256"/>
      <c r="D160" s="253" t="s">
        <v>226</v>
      </c>
      <c r="E160" s="244"/>
      <c r="F160" s="253" t="s">
        <v>227</v>
      </c>
      <c r="G160" s="244"/>
      <c r="H160" s="243" t="s">
        <v>90</v>
      </c>
      <c r="I160" s="254"/>
      <c r="J160" s="243" t="s">
        <v>228</v>
      </c>
      <c r="K160" s="252"/>
      <c r="L160" s="259" t="s">
        <v>188</v>
      </c>
      <c r="M160" s="260"/>
      <c r="N160" s="16" t="s">
        <v>67</v>
      </c>
      <c r="O160" s="245" t="s">
        <v>73</v>
      </c>
      <c r="P160" s="246"/>
      <c r="Q160" s="247"/>
      <c r="R160" s="248" t="s">
        <v>74</v>
      </c>
      <c r="S160" s="249"/>
      <c r="T160" s="249"/>
      <c r="U160" s="250"/>
      <c r="W160" s="16" t="s">
        <v>67</v>
      </c>
      <c r="X160" s="245" t="s">
        <v>73</v>
      </c>
      <c r="Y160" s="246"/>
      <c r="Z160" s="247"/>
      <c r="AA160" s="248" t="s">
        <v>74</v>
      </c>
      <c r="AB160" s="249"/>
      <c r="AC160" s="249"/>
      <c r="AD160" s="250"/>
    </row>
    <row r="161" spans="1:30" ht="16.149999999999999" customHeight="1">
      <c r="A161" s="241"/>
      <c r="B161" s="45" t="s">
        <v>339</v>
      </c>
      <c r="C161" s="47">
        <v>75</v>
      </c>
      <c r="D161" s="101" t="s">
        <v>340</v>
      </c>
      <c r="E161" s="28">
        <v>55</v>
      </c>
      <c r="F161" s="101" t="s">
        <v>271</v>
      </c>
      <c r="G161" s="28">
        <v>45</v>
      </c>
      <c r="H161" s="135" t="s">
        <v>21</v>
      </c>
      <c r="I161" s="30">
        <v>100</v>
      </c>
      <c r="J161" s="25" t="s">
        <v>342</v>
      </c>
      <c r="K161" s="48">
        <v>25</v>
      </c>
      <c r="L161" s="137" t="s">
        <v>91</v>
      </c>
      <c r="M161" s="104">
        <v>110</v>
      </c>
      <c r="N161" s="33" t="e">
        <f>S162</f>
        <v>#REF!</v>
      </c>
      <c r="O161" s="17" t="s">
        <v>68</v>
      </c>
      <c r="P161" s="59">
        <f>K163/35+M161/20</f>
        <v>5.5114285714285716</v>
      </c>
      <c r="Q161" s="19" t="s">
        <v>69</v>
      </c>
      <c r="R161" s="86" t="s">
        <v>70</v>
      </c>
      <c r="S161" s="87" t="e">
        <f>P167</f>
        <v>#REF!</v>
      </c>
      <c r="T161" s="88" t="s">
        <v>71</v>
      </c>
      <c r="U161" s="105"/>
      <c r="W161" s="33">
        <f>AB162</f>
        <v>111.17</v>
      </c>
      <c r="X161" s="17" t="s">
        <v>68</v>
      </c>
      <c r="Y161" s="18">
        <f>M161/20+M162/20</f>
        <v>7</v>
      </c>
      <c r="Z161" s="19" t="s">
        <v>69</v>
      </c>
      <c r="AA161" s="86" t="s">
        <v>70</v>
      </c>
      <c r="AB161" s="87">
        <f>Y167</f>
        <v>822.70885714285714</v>
      </c>
      <c r="AC161" s="88" t="s">
        <v>71</v>
      </c>
      <c r="AD161" s="105"/>
    </row>
    <row r="162" spans="1:30" ht="16.149999999999999" customHeight="1">
      <c r="A162" s="241"/>
      <c r="B162" s="106" t="s">
        <v>273</v>
      </c>
      <c r="C162" s="107">
        <v>0.4</v>
      </c>
      <c r="D162" s="32" t="s">
        <v>257</v>
      </c>
      <c r="E162" s="47">
        <v>5</v>
      </c>
      <c r="F162" s="32" t="s">
        <v>293</v>
      </c>
      <c r="G162" s="47">
        <v>10</v>
      </c>
      <c r="H162" s="69"/>
      <c r="I162" s="92"/>
      <c r="J162" s="165" t="s">
        <v>272</v>
      </c>
      <c r="K162" s="129">
        <v>10</v>
      </c>
      <c r="L162" s="55" t="s">
        <v>229</v>
      </c>
      <c r="M162" s="110">
        <v>30</v>
      </c>
      <c r="N162" s="49" t="s">
        <v>78</v>
      </c>
      <c r="O162" s="34" t="s">
        <v>75</v>
      </c>
      <c r="P162" s="35">
        <f>C161*0.68/40+G178/35+G179/35+E170/15+K164/60</f>
        <v>2.2750000000000004</v>
      </c>
      <c r="Q162" s="36" t="s">
        <v>69</v>
      </c>
      <c r="R162" s="37" t="s">
        <v>76</v>
      </c>
      <c r="S162" s="38" t="e">
        <f>P161*15+P163*5+P164*15+P165*12</f>
        <v>#REF!</v>
      </c>
      <c r="T162" s="36" t="s">
        <v>77</v>
      </c>
      <c r="U162" s="39" t="e">
        <f>S162*4/S161</f>
        <v>#REF!</v>
      </c>
      <c r="W162" s="49" t="s">
        <v>78</v>
      </c>
      <c r="X162" s="34" t="s">
        <v>75</v>
      </c>
      <c r="Y162" s="35">
        <f>C161*0.6/35+E161/55++K162*0.6/40+G162/35+E162/35</f>
        <v>2.8642857142857139</v>
      </c>
      <c r="Z162" s="36" t="s">
        <v>69</v>
      </c>
      <c r="AA162" s="37" t="s">
        <v>76</v>
      </c>
      <c r="AB162" s="38">
        <f>Y161*15+Y163*5+Y164*15+Y165*12</f>
        <v>111.17</v>
      </c>
      <c r="AC162" s="36" t="s">
        <v>77</v>
      </c>
      <c r="AD162" s="39">
        <f>AB162*4/AB161</f>
        <v>0.54050712611057339</v>
      </c>
    </row>
    <row r="163" spans="1:30" ht="16.149999999999999" customHeight="1">
      <c r="A163" s="241"/>
      <c r="B163" s="56"/>
      <c r="C163" s="47"/>
      <c r="D163" s="56" t="s">
        <v>283</v>
      </c>
      <c r="E163" s="51">
        <v>5</v>
      </c>
      <c r="F163" s="55" t="s">
        <v>311</v>
      </c>
      <c r="G163" s="47">
        <v>5</v>
      </c>
      <c r="H163" s="69"/>
      <c r="I163" s="46"/>
      <c r="J163" s="152" t="s">
        <v>273</v>
      </c>
      <c r="K163" s="153">
        <v>0.4</v>
      </c>
      <c r="L163" s="130"/>
      <c r="M163" s="110"/>
      <c r="N163" s="33">
        <f>S163</f>
        <v>23.875</v>
      </c>
      <c r="O163" s="50" t="s">
        <v>79</v>
      </c>
      <c r="P163" s="35" t="e">
        <f>(G177+E169+#REF!+I161+K161+K162)/100</f>
        <v>#REF!</v>
      </c>
      <c r="Q163" s="36" t="s">
        <v>69</v>
      </c>
      <c r="R163" s="37" t="s">
        <v>80</v>
      </c>
      <c r="S163" s="38">
        <f>P162*5+P165*4+P166*5</f>
        <v>23.875</v>
      </c>
      <c r="T163" s="36" t="s">
        <v>77</v>
      </c>
      <c r="U163" s="39" t="e">
        <f>S163*9/S161</f>
        <v>#REF!</v>
      </c>
      <c r="W163" s="33">
        <f>AB163</f>
        <v>26.321428571428569</v>
      </c>
      <c r="X163" s="50" t="s">
        <v>79</v>
      </c>
      <c r="Y163" s="35">
        <f>(C162+C163+E162+E163+G162+G164+I161)/100</f>
        <v>1.234</v>
      </c>
      <c r="Z163" s="36" t="s">
        <v>69</v>
      </c>
      <c r="AA163" s="37" t="s">
        <v>80</v>
      </c>
      <c r="AB163" s="38">
        <f>Y162*5+Y165*4+Y166*5</f>
        <v>26.321428571428569</v>
      </c>
      <c r="AC163" s="36" t="s">
        <v>77</v>
      </c>
      <c r="AD163" s="39">
        <f>AB163*9/AB161</f>
        <v>0.28794251464065918</v>
      </c>
    </row>
    <row r="164" spans="1:30" ht="16.149999999999999" customHeight="1">
      <c r="A164" s="241"/>
      <c r="B164" s="45"/>
      <c r="C164" s="46"/>
      <c r="D164" s="56"/>
      <c r="E164" s="114"/>
      <c r="F164" s="32" t="s">
        <v>323</v>
      </c>
      <c r="G164" s="47">
        <v>3</v>
      </c>
      <c r="H164" s="69"/>
      <c r="I164" s="46"/>
      <c r="J164" s="123"/>
      <c r="K164" s="154"/>
      <c r="L164" s="67"/>
      <c r="M164" s="24"/>
      <c r="N164" s="49" t="s">
        <v>83</v>
      </c>
      <c r="O164" s="58" t="s">
        <v>81</v>
      </c>
      <c r="P164" s="59">
        <v>0</v>
      </c>
      <c r="Q164" s="36" t="s">
        <v>69</v>
      </c>
      <c r="R164" s="37" t="s">
        <v>82</v>
      </c>
      <c r="S164" s="38" t="e">
        <f>P161*2+P162*7+P163*1+P165*8</f>
        <v>#REF!</v>
      </c>
      <c r="T164" s="36" t="s">
        <v>77</v>
      </c>
      <c r="U164" s="39" t="e">
        <f>S164*4/S161</f>
        <v>#REF!</v>
      </c>
      <c r="W164" s="49" t="s">
        <v>83</v>
      </c>
      <c r="X164" s="64" t="s">
        <v>81</v>
      </c>
      <c r="Y164" s="59">
        <v>0</v>
      </c>
      <c r="Z164" s="36" t="s">
        <v>69</v>
      </c>
      <c r="AA164" s="37" t="s">
        <v>82</v>
      </c>
      <c r="AB164" s="38">
        <f>Y161*2+Y162*7+Y163*1+Y165*8</f>
        <v>35.283999999999999</v>
      </c>
      <c r="AC164" s="36" t="s">
        <v>77</v>
      </c>
      <c r="AD164" s="39">
        <f>AB164*4/AB161</f>
        <v>0.17155035924876738</v>
      </c>
    </row>
    <row r="165" spans="1:30" ht="16.149999999999999" customHeight="1">
      <c r="A165" s="241" t="s">
        <v>93</v>
      </c>
      <c r="B165" s="143"/>
      <c r="C165" s="129"/>
      <c r="F165" s="56"/>
      <c r="G165" s="47"/>
      <c r="H165" s="69"/>
      <c r="I165" s="46"/>
      <c r="J165" s="45"/>
      <c r="K165" s="48"/>
      <c r="L165" s="130"/>
      <c r="M165" s="110"/>
      <c r="N165" s="33" t="e">
        <f>S164</f>
        <v>#REF!</v>
      </c>
      <c r="O165" s="64" t="s">
        <v>84</v>
      </c>
      <c r="P165" s="59">
        <v>0</v>
      </c>
      <c r="Q165" s="36" t="s">
        <v>69</v>
      </c>
      <c r="R165" s="65"/>
      <c r="S165" s="65"/>
      <c r="T165" s="65"/>
      <c r="U165" s="66" t="e">
        <f>SUM(U162:U164)</f>
        <v>#REF!</v>
      </c>
      <c r="W165" s="33">
        <f>AB164</f>
        <v>35.283999999999999</v>
      </c>
      <c r="X165" s="64" t="s">
        <v>84</v>
      </c>
      <c r="Y165" s="59">
        <v>0</v>
      </c>
      <c r="Z165" s="36" t="s">
        <v>69</v>
      </c>
      <c r="AA165" s="65"/>
      <c r="AB165" s="65"/>
      <c r="AC165" s="65"/>
      <c r="AD165" s="66">
        <f>SUM(AD162:AD164)</f>
        <v>0.99999999999999989</v>
      </c>
    </row>
    <row r="166" spans="1:30" ht="16.149999999999999" customHeight="1">
      <c r="A166" s="241"/>
      <c r="B166" s="55"/>
      <c r="C166" s="46"/>
      <c r="D166" s="44"/>
      <c r="E166" s="24"/>
      <c r="F166" s="61"/>
      <c r="G166" s="110"/>
      <c r="H166" s="27"/>
      <c r="I166" s="120"/>
      <c r="J166" s="73"/>
      <c r="K166" s="74"/>
      <c r="L166" s="126"/>
      <c r="M166" s="57"/>
      <c r="N166" s="49" t="s">
        <v>87</v>
      </c>
      <c r="O166" s="70" t="s">
        <v>86</v>
      </c>
      <c r="P166" s="59">
        <v>2.5</v>
      </c>
      <c r="Q166" s="36" t="s">
        <v>69</v>
      </c>
      <c r="R166" s="71"/>
      <c r="S166" s="71"/>
      <c r="T166" s="71"/>
      <c r="U166" s="72"/>
      <c r="W166" s="49" t="s">
        <v>87</v>
      </c>
      <c r="X166" s="70" t="s">
        <v>86</v>
      </c>
      <c r="Y166" s="59">
        <v>2.4</v>
      </c>
      <c r="Z166" s="36" t="s">
        <v>69</v>
      </c>
      <c r="AA166" s="71"/>
      <c r="AB166" s="71"/>
      <c r="AC166" s="71"/>
      <c r="AD166" s="72"/>
    </row>
    <row r="167" spans="1:30" ht="16.149999999999999" customHeight="1" thickBot="1">
      <c r="A167" s="242"/>
      <c r="B167" s="234" t="s">
        <v>180</v>
      </c>
      <c r="C167" s="235"/>
      <c r="D167" s="234" t="s">
        <v>341</v>
      </c>
      <c r="E167" s="235"/>
      <c r="F167" s="257" t="s">
        <v>107</v>
      </c>
      <c r="G167" s="235"/>
      <c r="H167" s="234" t="s">
        <v>96</v>
      </c>
      <c r="I167" s="235"/>
      <c r="J167" s="234" t="s">
        <v>94</v>
      </c>
      <c r="K167" s="235"/>
      <c r="L167" s="234" t="s">
        <v>97</v>
      </c>
      <c r="M167" s="235"/>
      <c r="N167" s="80" t="e">
        <f>P167</f>
        <v>#REF!</v>
      </c>
      <c r="O167" s="75" t="s">
        <v>88</v>
      </c>
      <c r="P167" s="76" t="e">
        <f>P161*68+P162*73+P163*24+P164*60+P165*112+P166*45</f>
        <v>#REF!</v>
      </c>
      <c r="Q167" s="77" t="s">
        <v>71</v>
      </c>
      <c r="R167" s="78"/>
      <c r="S167" s="78"/>
      <c r="T167" s="78"/>
      <c r="U167" s="79"/>
      <c r="W167" s="80">
        <f>Y167</f>
        <v>822.70885714285714</v>
      </c>
      <c r="X167" s="75" t="s">
        <v>88</v>
      </c>
      <c r="Y167" s="76">
        <f>Y161*68+Y162*73+Y163*24+Y164*60+Y165*112+Y166*45</f>
        <v>822.70885714285714</v>
      </c>
      <c r="Z167" s="77" t="s">
        <v>71</v>
      </c>
      <c r="AA167" s="78"/>
      <c r="AB167" s="78"/>
      <c r="AC167" s="78"/>
      <c r="AD167" s="79"/>
    </row>
    <row r="168" spans="1:30" ht="16.149999999999999" customHeight="1" thickBot="1">
      <c r="A168" s="251">
        <f>A160+1</f>
        <v>43944</v>
      </c>
      <c r="B168" s="255" t="s">
        <v>230</v>
      </c>
      <c r="C168" s="256"/>
      <c r="D168" s="267" t="s">
        <v>231</v>
      </c>
      <c r="E168" s="268"/>
      <c r="F168" s="243" t="s">
        <v>232</v>
      </c>
      <c r="G168" s="244"/>
      <c r="H168" s="243" t="s">
        <v>90</v>
      </c>
      <c r="I168" s="254"/>
      <c r="J168" s="243" t="s">
        <v>233</v>
      </c>
      <c r="K168" s="269"/>
      <c r="L168" s="258" t="s">
        <v>234</v>
      </c>
      <c r="M168" s="259"/>
      <c r="N168" s="16" t="s">
        <v>67</v>
      </c>
      <c r="O168" s="245" t="s">
        <v>73</v>
      </c>
      <c r="P168" s="246"/>
      <c r="Q168" s="247"/>
      <c r="R168" s="248" t="s">
        <v>74</v>
      </c>
      <c r="S168" s="249"/>
      <c r="T168" s="249"/>
      <c r="U168" s="250"/>
      <c r="W168" s="16" t="s">
        <v>67</v>
      </c>
      <c r="X168" s="245" t="s">
        <v>73</v>
      </c>
      <c r="Y168" s="246"/>
      <c r="Z168" s="247"/>
      <c r="AA168" s="248" t="s">
        <v>74</v>
      </c>
      <c r="AB168" s="249"/>
      <c r="AC168" s="249"/>
      <c r="AD168" s="250"/>
    </row>
    <row r="169" spans="1:30" ht="16.149999999999999" customHeight="1">
      <c r="A169" s="241"/>
      <c r="B169" s="23" t="s">
        <v>380</v>
      </c>
      <c r="C169" s="43">
        <v>75</v>
      </c>
      <c r="D169" s="155" t="s">
        <v>293</v>
      </c>
      <c r="E169" s="156">
        <v>30</v>
      </c>
      <c r="F169" s="29" t="s">
        <v>347</v>
      </c>
      <c r="G169" s="157">
        <v>30</v>
      </c>
      <c r="H169" s="29" t="s">
        <v>186</v>
      </c>
      <c r="I169" s="117">
        <v>120</v>
      </c>
      <c r="J169" s="25" t="s">
        <v>348</v>
      </c>
      <c r="K169" s="26">
        <v>15</v>
      </c>
      <c r="L169" s="25" t="s">
        <v>350</v>
      </c>
      <c r="M169" s="26">
        <v>120</v>
      </c>
      <c r="N169" s="33">
        <f>S170</f>
        <v>101.03571428571428</v>
      </c>
      <c r="O169" s="17" t="s">
        <v>68</v>
      </c>
      <c r="P169" s="59">
        <f>G164/35+M169/20</f>
        <v>6.0857142857142854</v>
      </c>
      <c r="Q169" s="19" t="s">
        <v>69</v>
      </c>
      <c r="R169" s="86" t="s">
        <v>70</v>
      </c>
      <c r="S169" s="87" t="e">
        <f>P175</f>
        <v>#REF!</v>
      </c>
      <c r="T169" s="88" t="s">
        <v>71</v>
      </c>
      <c r="U169" s="89" t="s">
        <v>72</v>
      </c>
      <c r="W169" s="33">
        <f>AB170</f>
        <v>123.52941176470587</v>
      </c>
      <c r="X169" s="17" t="s">
        <v>68</v>
      </c>
      <c r="Y169" s="18">
        <f>M169/20+M170/85+K169/25+K170/15+G169/60</f>
        <v>7.6686274509803916</v>
      </c>
      <c r="Z169" s="19" t="s">
        <v>69</v>
      </c>
      <c r="AA169" s="86" t="s">
        <v>70</v>
      </c>
      <c r="AB169" s="87">
        <f>Y175</f>
        <v>869.71309523809509</v>
      </c>
      <c r="AC169" s="88" t="s">
        <v>71</v>
      </c>
      <c r="AD169" s="89" t="s">
        <v>72</v>
      </c>
    </row>
    <row r="170" spans="1:30" ht="16.149999999999999" customHeight="1">
      <c r="A170" s="241"/>
      <c r="B170" s="170" t="s">
        <v>273</v>
      </c>
      <c r="C170" s="171">
        <v>0.4</v>
      </c>
      <c r="D170" s="155" t="s">
        <v>344</v>
      </c>
      <c r="E170" s="158">
        <v>15</v>
      </c>
      <c r="F170" s="60"/>
      <c r="G170" s="159"/>
      <c r="H170" s="52"/>
      <c r="I170" s="119"/>
      <c r="J170" s="45" t="s">
        <v>349</v>
      </c>
      <c r="K170" s="46">
        <v>5</v>
      </c>
      <c r="L170" s="56" t="s">
        <v>351</v>
      </c>
      <c r="M170" s="47">
        <v>20</v>
      </c>
      <c r="N170" s="49" t="s">
        <v>78</v>
      </c>
      <c r="O170" s="34" t="s">
        <v>75</v>
      </c>
      <c r="P170" s="35" t="e">
        <f>C169/35+#REF!/80+#REF!/35</f>
        <v>#REF!</v>
      </c>
      <c r="Q170" s="36" t="s">
        <v>69</v>
      </c>
      <c r="R170" s="37" t="s">
        <v>76</v>
      </c>
      <c r="S170" s="38">
        <f>P169*15+P171*5+P172*15+P173*12</f>
        <v>101.03571428571428</v>
      </c>
      <c r="T170" s="36" t="s">
        <v>77</v>
      </c>
      <c r="U170" s="39" t="e">
        <f>S170*4/S169</f>
        <v>#REF!</v>
      </c>
      <c r="W170" s="49" t="s">
        <v>78</v>
      </c>
      <c r="X170" s="34" t="s">
        <v>75</v>
      </c>
      <c r="Y170" s="35">
        <f>C169*0.6/40+E169/35+M171/40+E173/40</f>
        <v>2.7321428571428572</v>
      </c>
      <c r="Z170" s="36" t="s">
        <v>69</v>
      </c>
      <c r="AA170" s="37" t="s">
        <v>76</v>
      </c>
      <c r="AB170" s="38">
        <f>Y169*15+Y171*5+Y172*15+Y173*12</f>
        <v>123.52941176470587</v>
      </c>
      <c r="AC170" s="36" t="s">
        <v>77</v>
      </c>
      <c r="AD170" s="39">
        <f>AB170*4/AB169</f>
        <v>0.56813867672482554</v>
      </c>
    </row>
    <row r="171" spans="1:30" ht="16.149999999999999" customHeight="1">
      <c r="A171" s="241"/>
      <c r="B171" s="45"/>
      <c r="C171" s="46"/>
      <c r="D171" s="155" t="s">
        <v>345</v>
      </c>
      <c r="E171" s="158">
        <v>10</v>
      </c>
      <c r="F171" s="45"/>
      <c r="G171" s="47"/>
      <c r="H171" s="32"/>
      <c r="I171" s="47"/>
      <c r="J171" s="32"/>
      <c r="K171" s="47"/>
      <c r="L171" s="32" t="s">
        <v>352</v>
      </c>
      <c r="M171" s="47">
        <v>10</v>
      </c>
      <c r="N171" s="33" t="e">
        <f>S171</f>
        <v>#REF!</v>
      </c>
      <c r="O171" s="50" t="s">
        <v>79</v>
      </c>
      <c r="P171" s="35">
        <f>(G161+G162+G163+E172+I169+K153+K154+K155)/100</f>
        <v>1.95</v>
      </c>
      <c r="Q171" s="36" t="s">
        <v>69</v>
      </c>
      <c r="R171" s="37" t="s">
        <v>80</v>
      </c>
      <c r="S171" s="38" t="e">
        <f>P170*5+P173*4+P174*5</f>
        <v>#REF!</v>
      </c>
      <c r="T171" s="36" t="s">
        <v>77</v>
      </c>
      <c r="U171" s="39" t="e">
        <f>S171*9/S169</f>
        <v>#REF!</v>
      </c>
      <c r="W171" s="33">
        <f>AB171</f>
        <v>25.660714285714285</v>
      </c>
      <c r="X171" s="50" t="s">
        <v>79</v>
      </c>
      <c r="Y171" s="35">
        <f>(E170+E171+E172+I169+M172+M173)/100</f>
        <v>1.7</v>
      </c>
      <c r="Z171" s="36" t="s">
        <v>69</v>
      </c>
      <c r="AA171" s="37" t="s">
        <v>80</v>
      </c>
      <c r="AB171" s="38">
        <f>Y170*5+Y173*4+Y174*5</f>
        <v>25.660714285714285</v>
      </c>
      <c r="AC171" s="36" t="s">
        <v>77</v>
      </c>
      <c r="AD171" s="39">
        <f>AB171*9/AB169</f>
        <v>0.26554323470109875</v>
      </c>
    </row>
    <row r="172" spans="1:30" ht="16.149999999999999" customHeight="1">
      <c r="A172" s="241"/>
      <c r="B172" s="44"/>
      <c r="C172" s="24"/>
      <c r="D172" s="155" t="s">
        <v>346</v>
      </c>
      <c r="E172" s="158">
        <v>10</v>
      </c>
      <c r="F172" s="56"/>
      <c r="G172" s="47"/>
      <c r="H172" s="62"/>
      <c r="I172" s="63"/>
      <c r="J172" s="131"/>
      <c r="K172" s="132"/>
      <c r="L172" s="32" t="s">
        <v>313</v>
      </c>
      <c r="M172" s="47">
        <v>5</v>
      </c>
      <c r="N172" s="49" t="s">
        <v>83</v>
      </c>
      <c r="O172" s="58" t="s">
        <v>81</v>
      </c>
      <c r="P172" s="59">
        <v>0</v>
      </c>
      <c r="Q172" s="36" t="s">
        <v>69</v>
      </c>
      <c r="R172" s="37" t="s">
        <v>82</v>
      </c>
      <c r="S172" s="38" t="e">
        <f>P169*2+P170*7+P171*1+P173*8</f>
        <v>#REF!</v>
      </c>
      <c r="T172" s="36" t="s">
        <v>77</v>
      </c>
      <c r="U172" s="39" t="e">
        <f>S172*4/S169</f>
        <v>#REF!</v>
      </c>
      <c r="W172" s="49" t="s">
        <v>83</v>
      </c>
      <c r="X172" s="64" t="s">
        <v>81</v>
      </c>
      <c r="Y172" s="59">
        <v>0</v>
      </c>
      <c r="Z172" s="36" t="s">
        <v>69</v>
      </c>
      <c r="AA172" s="37" t="s">
        <v>82</v>
      </c>
      <c r="AB172" s="38">
        <f>Y169*2+Y170*7+Y171*1+Y173*8</f>
        <v>36.162254901960786</v>
      </c>
      <c r="AC172" s="36" t="s">
        <v>77</v>
      </c>
      <c r="AD172" s="39">
        <f>AB172*4/AB169</f>
        <v>0.16631808857407582</v>
      </c>
    </row>
    <row r="173" spans="1:30" ht="16.149999999999999" customHeight="1">
      <c r="A173" s="241" t="s">
        <v>99</v>
      </c>
      <c r="B173" s="44"/>
      <c r="C173" s="24"/>
      <c r="D173" s="161" t="s">
        <v>353</v>
      </c>
      <c r="E173" s="158">
        <v>20</v>
      </c>
      <c r="F173" s="56"/>
      <c r="G173" s="51"/>
      <c r="H173" s="44"/>
      <c r="I173" s="121"/>
      <c r="J173" s="61"/>
      <c r="K173" s="47"/>
      <c r="L173" s="32" t="s">
        <v>311</v>
      </c>
      <c r="M173" s="47">
        <v>10</v>
      </c>
      <c r="N173" s="33" t="e">
        <f>S172</f>
        <v>#REF!</v>
      </c>
      <c r="O173" s="64" t="s">
        <v>84</v>
      </c>
      <c r="P173" s="59">
        <v>0</v>
      </c>
      <c r="Q173" s="36" t="s">
        <v>69</v>
      </c>
      <c r="R173" s="65"/>
      <c r="S173" s="65"/>
      <c r="T173" s="65"/>
      <c r="U173" s="66" t="e">
        <f>SUM(U170:U172)</f>
        <v>#REF!</v>
      </c>
      <c r="W173" s="33">
        <f>AB172</f>
        <v>36.162254901960786</v>
      </c>
      <c r="X173" s="64" t="s">
        <v>84</v>
      </c>
      <c r="Y173" s="59">
        <v>0</v>
      </c>
      <c r="Z173" s="36" t="s">
        <v>69</v>
      </c>
      <c r="AA173" s="65"/>
      <c r="AB173" s="65"/>
      <c r="AC173" s="65"/>
      <c r="AD173" s="66">
        <f>SUM(AD170:AD172)</f>
        <v>1</v>
      </c>
    </row>
    <row r="174" spans="1:30" ht="16.149999999999999" customHeight="1">
      <c r="A174" s="241"/>
      <c r="B174" s="44"/>
      <c r="C174" s="24"/>
      <c r="D174" s="160"/>
      <c r="E174" s="162"/>
      <c r="F174" s="32"/>
      <c r="G174" s="47"/>
      <c r="H174" s="44"/>
      <c r="I174" s="121"/>
      <c r="J174" s="27"/>
      <c r="K174" s="47"/>
      <c r="L174" s="56"/>
      <c r="M174" s="57"/>
      <c r="N174" s="49" t="s">
        <v>87</v>
      </c>
      <c r="O174" s="70" t="s">
        <v>86</v>
      </c>
      <c r="P174" s="59">
        <v>2.5</v>
      </c>
      <c r="Q174" s="36" t="s">
        <v>69</v>
      </c>
      <c r="R174" s="71"/>
      <c r="S174" s="71"/>
      <c r="T174" s="71"/>
      <c r="U174" s="72"/>
      <c r="W174" s="49" t="s">
        <v>87</v>
      </c>
      <c r="X174" s="70" t="s">
        <v>86</v>
      </c>
      <c r="Y174" s="59">
        <v>2.4</v>
      </c>
      <c r="Z174" s="36" t="s">
        <v>69</v>
      </c>
      <c r="AA174" s="71"/>
      <c r="AB174" s="71"/>
      <c r="AC174" s="71"/>
      <c r="AD174" s="72"/>
    </row>
    <row r="175" spans="1:30" ht="16.149999999999999" customHeight="1" thickBot="1">
      <c r="A175" s="242"/>
      <c r="B175" s="234" t="s">
        <v>343</v>
      </c>
      <c r="C175" s="235"/>
      <c r="D175" s="257" t="s">
        <v>201</v>
      </c>
      <c r="E175" s="235"/>
      <c r="F175" s="234" t="s">
        <v>196</v>
      </c>
      <c r="G175" s="235"/>
      <c r="H175" s="234" t="s">
        <v>96</v>
      </c>
      <c r="I175" s="235"/>
      <c r="J175" s="234" t="s">
        <v>94</v>
      </c>
      <c r="K175" s="235"/>
      <c r="L175" s="234" t="s">
        <v>97</v>
      </c>
      <c r="M175" s="235"/>
      <c r="N175" s="80" t="e">
        <f>P175</f>
        <v>#REF!</v>
      </c>
      <c r="O175" s="75" t="s">
        <v>88</v>
      </c>
      <c r="P175" s="76" t="e">
        <f>P169*68+P170*73+P171*24+P172*60+P173*112+P174*45</f>
        <v>#REF!</v>
      </c>
      <c r="Q175" s="77" t="s">
        <v>71</v>
      </c>
      <c r="R175" s="78"/>
      <c r="S175" s="78"/>
      <c r="T175" s="78"/>
      <c r="U175" s="79"/>
      <c r="W175" s="80">
        <f>Y175</f>
        <v>869.71309523809509</v>
      </c>
      <c r="X175" s="75" t="s">
        <v>88</v>
      </c>
      <c r="Y175" s="76">
        <f>Y169*68+Y170*73+Y171*24+Y172*60+Y173*112+Y174*45</f>
        <v>869.71309523809509</v>
      </c>
      <c r="Z175" s="77" t="s">
        <v>71</v>
      </c>
      <c r="AA175" s="78"/>
      <c r="AB175" s="78"/>
      <c r="AC175" s="78"/>
      <c r="AD175" s="79"/>
    </row>
    <row r="176" spans="1:30" ht="16.149999999999999" customHeight="1" thickBot="1">
      <c r="A176" s="251">
        <f>A168+1</f>
        <v>43945</v>
      </c>
      <c r="B176" s="255"/>
      <c r="C176" s="256"/>
      <c r="D176" s="243"/>
      <c r="E176" s="244"/>
      <c r="F176" s="243"/>
      <c r="G176" s="244"/>
      <c r="H176" s="243"/>
      <c r="I176" s="254"/>
      <c r="J176" s="255"/>
      <c r="K176" s="256"/>
      <c r="L176" s="243"/>
      <c r="M176" s="244"/>
      <c r="N176" s="16" t="s">
        <v>67</v>
      </c>
      <c r="O176" s="245" t="s">
        <v>73</v>
      </c>
      <c r="P176" s="246"/>
      <c r="Q176" s="247"/>
      <c r="R176" s="248" t="s">
        <v>74</v>
      </c>
      <c r="S176" s="249"/>
      <c r="T176" s="249"/>
      <c r="U176" s="250"/>
      <c r="W176" s="16" t="s">
        <v>67</v>
      </c>
      <c r="X176" s="245" t="s">
        <v>73</v>
      </c>
      <c r="Y176" s="246"/>
      <c r="Z176" s="247"/>
      <c r="AA176" s="248" t="s">
        <v>74</v>
      </c>
      <c r="AB176" s="249"/>
      <c r="AC176" s="249"/>
      <c r="AD176" s="250"/>
    </row>
    <row r="177" spans="1:30" ht="16.149999999999999" customHeight="1">
      <c r="A177" s="241"/>
      <c r="B177" s="56"/>
      <c r="C177" s="51"/>
      <c r="D177" s="61"/>
      <c r="E177" s="46"/>
      <c r="F177" s="25"/>
      <c r="G177" s="26"/>
      <c r="H177" s="41"/>
      <c r="I177" s="28"/>
      <c r="J177" s="136"/>
      <c r="K177" s="26"/>
      <c r="L177" s="125"/>
      <c r="M177" s="26"/>
      <c r="N177" s="33" t="e">
        <f>S178</f>
        <v>#REF!</v>
      </c>
      <c r="O177" s="17" t="s">
        <v>68</v>
      </c>
      <c r="P177" s="59">
        <f>G182/55+M177/20+M178/20</f>
        <v>0</v>
      </c>
      <c r="Q177" s="19" t="s">
        <v>69</v>
      </c>
      <c r="R177" s="86" t="s">
        <v>70</v>
      </c>
      <c r="S177" s="87" t="e">
        <f>P183</f>
        <v>#REF!</v>
      </c>
      <c r="T177" s="88" t="s">
        <v>71</v>
      </c>
      <c r="U177" s="105"/>
      <c r="W177" s="33">
        <f>AB178</f>
        <v>0</v>
      </c>
      <c r="X177" s="17" t="s">
        <v>68</v>
      </c>
      <c r="Y177" s="59">
        <f>M177/20+M178/20+G177/55+C179/90</f>
        <v>0</v>
      </c>
      <c r="Z177" s="19" t="s">
        <v>69</v>
      </c>
      <c r="AA177" s="86" t="s">
        <v>70</v>
      </c>
      <c r="AB177" s="87">
        <f>Y183</f>
        <v>108</v>
      </c>
      <c r="AC177" s="88" t="s">
        <v>71</v>
      </c>
      <c r="AD177" s="105"/>
    </row>
    <row r="178" spans="1:30" ht="16.149999999999999" customHeight="1">
      <c r="A178" s="241"/>
      <c r="B178" s="61"/>
      <c r="C178" s="51"/>
      <c r="D178" s="61"/>
      <c r="E178" s="46"/>
      <c r="F178" s="56"/>
      <c r="G178" s="47"/>
      <c r="H178" s="56"/>
      <c r="I178" s="47"/>
      <c r="J178" s="69"/>
      <c r="K178" s="46"/>
      <c r="L178" s="32"/>
      <c r="M178" s="47"/>
      <c r="N178" s="49" t="s">
        <v>78</v>
      </c>
      <c r="O178" s="34" t="s">
        <v>75</v>
      </c>
      <c r="P178" s="35" t="e">
        <f>C177*0.58/40+E179/55+#REF!*0.52/35+#REF!/80</f>
        <v>#REF!</v>
      </c>
      <c r="Q178" s="36" t="s">
        <v>69</v>
      </c>
      <c r="R178" s="37" t="s">
        <v>76</v>
      </c>
      <c r="S178" s="38" t="e">
        <f>P177*15+P179*5+P180*15+P181*12</f>
        <v>#REF!</v>
      </c>
      <c r="T178" s="36" t="s">
        <v>77</v>
      </c>
      <c r="U178" s="39" t="e">
        <f>S178*4/S177</f>
        <v>#REF!</v>
      </c>
      <c r="W178" s="49" t="s">
        <v>78</v>
      </c>
      <c r="X178" s="34" t="s">
        <v>75</v>
      </c>
      <c r="Y178" s="35">
        <f>C177/35+E177/40+K177/80</f>
        <v>0</v>
      </c>
      <c r="Z178" s="36" t="s">
        <v>69</v>
      </c>
      <c r="AA178" s="37" t="s">
        <v>76</v>
      </c>
      <c r="AB178" s="38">
        <f>Y177*15+Y179*5+Y180*15+Y181*12</f>
        <v>0</v>
      </c>
      <c r="AC178" s="36" t="s">
        <v>77</v>
      </c>
      <c r="AD178" s="39">
        <f>AB178*4/AB177</f>
        <v>0</v>
      </c>
    </row>
    <row r="179" spans="1:30" ht="16.149999999999999" customHeight="1">
      <c r="A179" s="241"/>
      <c r="B179" s="32"/>
      <c r="C179" s="57"/>
      <c r="D179" s="45"/>
      <c r="E179" s="47"/>
      <c r="F179" s="45"/>
      <c r="G179" s="47"/>
      <c r="H179" s="56"/>
      <c r="I179" s="47"/>
      <c r="J179" s="128"/>
      <c r="K179" s="51"/>
      <c r="L179" s="45"/>
      <c r="M179" s="57"/>
      <c r="N179" s="33" t="e">
        <f>S179</f>
        <v>#REF!</v>
      </c>
      <c r="O179" s="50" t="s">
        <v>79</v>
      </c>
      <c r="P179" s="35" t="e">
        <f>(E177+E178+E179+E180+#REF!+#REF!+I177+#REF!+#REF!)/100</f>
        <v>#REF!</v>
      </c>
      <c r="Q179" s="36" t="s">
        <v>69</v>
      </c>
      <c r="R179" s="37" t="s">
        <v>80</v>
      </c>
      <c r="S179" s="38" t="e">
        <f>P178*5+P181*4+P182*5</f>
        <v>#REF!</v>
      </c>
      <c r="T179" s="36" t="s">
        <v>77</v>
      </c>
      <c r="U179" s="39" t="e">
        <f>S179*9/S177</f>
        <v>#REF!</v>
      </c>
      <c r="W179" s="33">
        <f>AB179</f>
        <v>12</v>
      </c>
      <c r="X179" s="50" t="s">
        <v>79</v>
      </c>
      <c r="Y179" s="35">
        <f>(C178+E178+E179+E180+I177+K178)/100</f>
        <v>0</v>
      </c>
      <c r="Z179" s="36" t="s">
        <v>69</v>
      </c>
      <c r="AA179" s="37" t="s">
        <v>80</v>
      </c>
      <c r="AB179" s="38">
        <f>Y178*5+Y181*4+Y182*5</f>
        <v>12</v>
      </c>
      <c r="AC179" s="36" t="s">
        <v>77</v>
      </c>
      <c r="AD179" s="39">
        <f>AB179*9/AB177</f>
        <v>1</v>
      </c>
    </row>
    <row r="180" spans="1:30" ht="16.149999999999999" customHeight="1">
      <c r="A180" s="241"/>
      <c r="B180" s="128"/>
      <c r="C180" s="51"/>
      <c r="D180" s="45"/>
      <c r="E180" s="46"/>
      <c r="F180" s="45"/>
      <c r="G180" s="46"/>
      <c r="H180" s="32"/>
      <c r="I180" s="47"/>
      <c r="J180" s="69"/>
      <c r="K180" s="47"/>
      <c r="L180" s="56"/>
      <c r="M180" s="120"/>
      <c r="N180" s="49" t="s">
        <v>83</v>
      </c>
      <c r="O180" s="58" t="s">
        <v>81</v>
      </c>
      <c r="P180" s="59">
        <v>0</v>
      </c>
      <c r="Q180" s="36" t="s">
        <v>69</v>
      </c>
      <c r="R180" s="37" t="s">
        <v>82</v>
      </c>
      <c r="S180" s="38" t="e">
        <f>P177*2+P178*7+P179*1+P181*8</f>
        <v>#REF!</v>
      </c>
      <c r="T180" s="36" t="s">
        <v>77</v>
      </c>
      <c r="U180" s="39" t="e">
        <f>S180*4/S177</f>
        <v>#REF!</v>
      </c>
      <c r="W180" s="49" t="s">
        <v>83</v>
      </c>
      <c r="X180" s="64" t="s">
        <v>81</v>
      </c>
      <c r="Y180" s="59">
        <v>0</v>
      </c>
      <c r="Z180" s="36" t="s">
        <v>69</v>
      </c>
      <c r="AA180" s="37" t="s">
        <v>82</v>
      </c>
      <c r="AB180" s="38">
        <f>Y177*2+Y178*7+Y179*1+Y181*8</f>
        <v>0</v>
      </c>
      <c r="AC180" s="36" t="s">
        <v>77</v>
      </c>
      <c r="AD180" s="39">
        <f>AB180*4/AB177</f>
        <v>0</v>
      </c>
    </row>
    <row r="181" spans="1:30" ht="16.149999999999999" customHeight="1">
      <c r="A181" s="241" t="s">
        <v>101</v>
      </c>
      <c r="D181" s="45"/>
      <c r="E181" s="46"/>
      <c r="F181" s="45"/>
      <c r="G181" s="46"/>
      <c r="H181" s="32"/>
      <c r="I181" s="47"/>
      <c r="J181" s="139"/>
      <c r="K181" s="57"/>
      <c r="L181" s="56"/>
      <c r="M181" s="120"/>
      <c r="N181" s="33" t="e">
        <f>S180</f>
        <v>#REF!</v>
      </c>
      <c r="O181" s="64" t="s">
        <v>84</v>
      </c>
      <c r="P181" s="59">
        <v>0</v>
      </c>
      <c r="Q181" s="36" t="s">
        <v>69</v>
      </c>
      <c r="R181" s="65"/>
      <c r="S181" s="65"/>
      <c r="T181" s="65"/>
      <c r="U181" s="66" t="e">
        <f>SUM(U178:U180)</f>
        <v>#REF!</v>
      </c>
      <c r="W181" s="33">
        <f>AB180</f>
        <v>0</v>
      </c>
      <c r="X181" s="64" t="s">
        <v>84</v>
      </c>
      <c r="Y181" s="59">
        <v>0</v>
      </c>
      <c r="Z181" s="36" t="s">
        <v>69</v>
      </c>
      <c r="AA181" s="65"/>
      <c r="AB181" s="65"/>
      <c r="AC181" s="65"/>
      <c r="AD181" s="66">
        <f>SUM(AD178:AD180)</f>
        <v>1</v>
      </c>
    </row>
    <row r="182" spans="1:30" ht="16.149999999999999" customHeight="1">
      <c r="A182" s="241"/>
      <c r="B182" s="55"/>
      <c r="C182" s="46"/>
      <c r="D182" s="32"/>
      <c r="E182" s="47"/>
      <c r="F182" s="32"/>
      <c r="G182" s="47"/>
      <c r="H182" s="126"/>
      <c r="I182" s="57"/>
      <c r="J182" s="52"/>
      <c r="K182" s="119"/>
      <c r="L182" s="56"/>
      <c r="M182" s="120"/>
      <c r="N182" s="49" t="s">
        <v>87</v>
      </c>
      <c r="O182" s="70" t="s">
        <v>86</v>
      </c>
      <c r="P182" s="59">
        <v>2.5</v>
      </c>
      <c r="Q182" s="36" t="s">
        <v>69</v>
      </c>
      <c r="R182" s="71"/>
      <c r="S182" s="71"/>
      <c r="T182" s="71"/>
      <c r="U182" s="72"/>
      <c r="W182" s="49" t="s">
        <v>87</v>
      </c>
      <c r="X182" s="70" t="s">
        <v>86</v>
      </c>
      <c r="Y182" s="59">
        <v>2.4</v>
      </c>
      <c r="Z182" s="36" t="s">
        <v>69</v>
      </c>
      <c r="AA182" s="71"/>
      <c r="AB182" s="71"/>
      <c r="AC182" s="71"/>
      <c r="AD182" s="72"/>
    </row>
    <row r="183" spans="1:30" ht="16.149999999999999" customHeight="1" thickBot="1">
      <c r="A183" s="242"/>
      <c r="B183" s="234"/>
      <c r="C183" s="235"/>
      <c r="D183" s="234"/>
      <c r="E183" s="235"/>
      <c r="F183" s="234"/>
      <c r="G183" s="235"/>
      <c r="H183" s="234"/>
      <c r="I183" s="235"/>
      <c r="J183" s="234"/>
      <c r="K183" s="235"/>
      <c r="L183" s="234"/>
      <c r="M183" s="235"/>
      <c r="N183" s="80" t="e">
        <f>P183</f>
        <v>#REF!</v>
      </c>
      <c r="O183" s="75" t="s">
        <v>88</v>
      </c>
      <c r="P183" s="76" t="e">
        <f>P177*68+P178*73+P179*24+P180*60+P181*112+P182*45</f>
        <v>#REF!</v>
      </c>
      <c r="Q183" s="77" t="s">
        <v>71</v>
      </c>
      <c r="R183" s="78"/>
      <c r="S183" s="78"/>
      <c r="T183" s="78"/>
      <c r="U183" s="79"/>
      <c r="W183" s="80">
        <f>Y183</f>
        <v>108</v>
      </c>
      <c r="X183" s="75" t="s">
        <v>88</v>
      </c>
      <c r="Y183" s="76">
        <f>Y177*68+Y178*73+Y179*24+Y180*60+Y181*112+Y182*45</f>
        <v>108</v>
      </c>
      <c r="Z183" s="77" t="s">
        <v>71</v>
      </c>
      <c r="AA183" s="78"/>
      <c r="AB183" s="78"/>
      <c r="AC183" s="78"/>
      <c r="AD183" s="79"/>
    </row>
    <row r="184" spans="1:30">
      <c r="A184" s="236" t="s">
        <v>102</v>
      </c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</row>
    <row r="185" spans="1:30" ht="16.149999999999999" customHeight="1">
      <c r="A185" s="238" t="s">
        <v>103</v>
      </c>
      <c r="B185" s="238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</row>
    <row r="186" spans="1:30">
      <c r="A186" s="239" t="s">
        <v>104</v>
      </c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</row>
    <row r="187" spans="1:30" ht="16.149999999999999" customHeight="1">
      <c r="A187" s="240" t="s">
        <v>105</v>
      </c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</row>
    <row r="188" spans="1:30">
      <c r="A188" s="233" t="s">
        <v>106</v>
      </c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</row>
    <row r="189" spans="1:30" ht="22.6" thickBot="1">
      <c r="A189" s="266" t="s">
        <v>390</v>
      </c>
      <c r="B189" s="266"/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</row>
    <row r="190" spans="1:30" ht="32.799999999999997" thickBot="1">
      <c r="A190" s="127" t="s">
        <v>58</v>
      </c>
      <c r="B190" s="15" t="s">
        <v>59</v>
      </c>
      <c r="C190" s="14" t="s">
        <v>60</v>
      </c>
      <c r="D190" s="15" t="s">
        <v>61</v>
      </c>
      <c r="E190" s="14" t="s">
        <v>60</v>
      </c>
      <c r="F190" s="15" t="s">
        <v>61</v>
      </c>
      <c r="G190" s="14" t="s">
        <v>60</v>
      </c>
      <c r="H190" s="15" t="s">
        <v>61</v>
      </c>
      <c r="I190" s="14" t="s">
        <v>60</v>
      </c>
      <c r="J190" s="15" t="s">
        <v>63</v>
      </c>
      <c r="K190" s="14" t="s">
        <v>60</v>
      </c>
      <c r="L190" s="15" t="s">
        <v>64</v>
      </c>
      <c r="M190" s="14" t="s">
        <v>60</v>
      </c>
      <c r="N190" s="14" t="s">
        <v>65</v>
      </c>
      <c r="O190" s="262" t="s">
        <v>66</v>
      </c>
      <c r="P190" s="263"/>
      <c r="Q190" s="263"/>
      <c r="R190" s="263"/>
      <c r="S190" s="263"/>
      <c r="T190" s="263"/>
      <c r="U190" s="264"/>
      <c r="W190" s="14" t="s">
        <v>65</v>
      </c>
      <c r="X190" s="262" t="s">
        <v>66</v>
      </c>
      <c r="Y190" s="263"/>
      <c r="Z190" s="263"/>
      <c r="AA190" s="263"/>
      <c r="AB190" s="263"/>
      <c r="AC190" s="263"/>
      <c r="AD190" s="264"/>
    </row>
    <row r="191" spans="1:30" ht="16.149999999999999" customHeight="1" thickBot="1">
      <c r="A191" s="251">
        <f>A176+3</f>
        <v>43948</v>
      </c>
      <c r="B191" s="243" t="s">
        <v>237</v>
      </c>
      <c r="C191" s="244"/>
      <c r="D191" s="265" t="s">
        <v>238</v>
      </c>
      <c r="E191" s="244"/>
      <c r="F191" s="255" t="s">
        <v>242</v>
      </c>
      <c r="G191" s="256"/>
      <c r="H191" s="243" t="s">
        <v>90</v>
      </c>
      <c r="I191" s="254"/>
      <c r="J191" s="255" t="s">
        <v>239</v>
      </c>
      <c r="K191" s="256"/>
      <c r="L191" s="258" t="s">
        <v>157</v>
      </c>
      <c r="M191" s="259"/>
      <c r="N191" s="16" t="s">
        <v>67</v>
      </c>
      <c r="O191" s="17" t="s">
        <v>68</v>
      </c>
      <c r="P191" s="18">
        <f>C192/65+G192/55+G193/90+K192/20+M192/20+M193/20</f>
        <v>9.1950271950271958</v>
      </c>
      <c r="Q191" s="19" t="s">
        <v>69</v>
      </c>
      <c r="R191" s="20" t="s">
        <v>70</v>
      </c>
      <c r="S191" s="21">
        <f>P197</f>
        <v>844.42070640470638</v>
      </c>
      <c r="T191" s="19" t="s">
        <v>71</v>
      </c>
      <c r="U191" s="22" t="s">
        <v>72</v>
      </c>
      <c r="W191" s="16" t="s">
        <v>67</v>
      </c>
      <c r="X191" s="245" t="s">
        <v>73</v>
      </c>
      <c r="Y191" s="246"/>
      <c r="Z191" s="247"/>
      <c r="AA191" s="248" t="s">
        <v>74</v>
      </c>
      <c r="AB191" s="249"/>
      <c r="AC191" s="249"/>
      <c r="AD191" s="250"/>
    </row>
    <row r="192" spans="1:30" ht="16.149999999999999" customHeight="1">
      <c r="A192" s="241"/>
      <c r="B192" s="45" t="s">
        <v>287</v>
      </c>
      <c r="C192" s="46">
        <v>100</v>
      </c>
      <c r="D192" s="61" t="s">
        <v>257</v>
      </c>
      <c r="E192" s="46">
        <v>15</v>
      </c>
      <c r="F192" s="135" t="s">
        <v>356</v>
      </c>
      <c r="G192" s="129">
        <v>30</v>
      </c>
      <c r="H192" s="29" t="s">
        <v>186</v>
      </c>
      <c r="I192" s="30">
        <v>120</v>
      </c>
      <c r="J192" s="136" t="s">
        <v>358</v>
      </c>
      <c r="K192" s="26">
        <v>10</v>
      </c>
      <c r="L192" s="25" t="s">
        <v>91</v>
      </c>
      <c r="M192" s="26">
        <v>130</v>
      </c>
      <c r="N192" s="33">
        <f>S192</f>
        <v>144.72040792540793</v>
      </c>
      <c r="O192" s="34" t="s">
        <v>75</v>
      </c>
      <c r="P192" s="35">
        <f>C194/55+E192/50+E193/35+K195/35</f>
        <v>1.0142857142857142</v>
      </c>
      <c r="Q192" s="36" t="s">
        <v>69</v>
      </c>
      <c r="R192" s="37" t="s">
        <v>76</v>
      </c>
      <c r="S192" s="38">
        <f>P191*15+P193*5+P194*15+P195*12</f>
        <v>144.72040792540793</v>
      </c>
      <c r="T192" s="36" t="s">
        <v>77</v>
      </c>
      <c r="U192" s="39">
        <f>S192*4/S191</f>
        <v>0.68553699277027258</v>
      </c>
      <c r="W192" s="33">
        <f>AB193</f>
        <v>121.16470588235295</v>
      </c>
      <c r="X192" s="40" t="s">
        <v>68</v>
      </c>
      <c r="Y192" s="18">
        <f>M192/20+K192/25+G193/85+G192/2/30</f>
        <v>7.5176470588235293</v>
      </c>
      <c r="Z192" s="19" t="s">
        <v>69</v>
      </c>
      <c r="AA192" s="20" t="s">
        <v>70</v>
      </c>
      <c r="AB192" s="21">
        <f>Y198</f>
        <v>877.21642857142865</v>
      </c>
      <c r="AC192" s="19" t="s">
        <v>71</v>
      </c>
      <c r="AD192" s="22" t="s">
        <v>72</v>
      </c>
    </row>
    <row r="193" spans="1:30" ht="16.149999999999999" customHeight="1">
      <c r="A193" s="241"/>
      <c r="B193" s="170" t="s">
        <v>273</v>
      </c>
      <c r="C193" s="171">
        <v>0.4</v>
      </c>
      <c r="D193" s="61" t="s">
        <v>262</v>
      </c>
      <c r="E193" s="46">
        <v>25</v>
      </c>
      <c r="F193" s="54" t="s">
        <v>351</v>
      </c>
      <c r="G193" s="129">
        <v>10</v>
      </c>
      <c r="H193" s="45"/>
      <c r="I193" s="48"/>
      <c r="J193" s="69" t="s">
        <v>271</v>
      </c>
      <c r="K193" s="46">
        <v>15</v>
      </c>
      <c r="L193" s="56"/>
      <c r="M193" s="47"/>
      <c r="N193" s="49" t="s">
        <v>78</v>
      </c>
      <c r="O193" s="50" t="s">
        <v>79</v>
      </c>
      <c r="P193" s="35">
        <f>(C193+I192+K193+K194+K196)/100</f>
        <v>1.359</v>
      </c>
      <c r="Q193" s="36" t="s">
        <v>69</v>
      </c>
      <c r="R193" s="37" t="s">
        <v>80</v>
      </c>
      <c r="S193" s="38">
        <f>P192*5+P195*4+P196*5</f>
        <v>17.571428571428569</v>
      </c>
      <c r="T193" s="36" t="s">
        <v>77</v>
      </c>
      <c r="U193" s="39">
        <f>S193*9/S191</f>
        <v>0.18727970067927707</v>
      </c>
      <c r="W193" s="49" t="s">
        <v>78</v>
      </c>
      <c r="X193" s="34" t="s">
        <v>75</v>
      </c>
      <c r="Y193" s="35">
        <f>C192*0.6/40+E192/35+E193/40+G192/2/35</f>
        <v>2.9821428571428572</v>
      </c>
      <c r="Z193" s="36" t="s">
        <v>69</v>
      </c>
      <c r="AA193" s="37" t="s">
        <v>76</v>
      </c>
      <c r="AB193" s="38">
        <f>Y192*15+Y194*5+Y195*15+Y196*12</f>
        <v>121.16470588235295</v>
      </c>
      <c r="AC193" s="36" t="s">
        <v>77</v>
      </c>
      <c r="AD193" s="39">
        <f>AB193*4/AB192</f>
        <v>0.55249629138694101</v>
      </c>
    </row>
    <row r="194" spans="1:30" ht="16.149999999999999" customHeight="1">
      <c r="A194" s="241"/>
      <c r="B194" s="45"/>
      <c r="C194" s="46"/>
      <c r="D194" s="67" t="s">
        <v>354</v>
      </c>
      <c r="E194" s="24">
        <v>10</v>
      </c>
      <c r="F194" s="62" t="s">
        <v>357</v>
      </c>
      <c r="G194" s="63">
        <v>3</v>
      </c>
      <c r="H194" s="55"/>
      <c r="I194" s="46"/>
      <c r="J194" s="128" t="s">
        <v>359</v>
      </c>
      <c r="K194" s="51">
        <v>0.5</v>
      </c>
      <c r="L194" s="32"/>
      <c r="M194" s="47"/>
      <c r="N194" s="33">
        <f>S193</f>
        <v>17.571428571428569</v>
      </c>
      <c r="O194" s="58" t="s">
        <v>81</v>
      </c>
      <c r="P194" s="59">
        <v>0</v>
      </c>
      <c r="Q194" s="36" t="s">
        <v>69</v>
      </c>
      <c r="R194" s="37" t="s">
        <v>82</v>
      </c>
      <c r="S194" s="38">
        <f>P191*2+P192*7+P193*1+P195*8</f>
        <v>26.849054390054391</v>
      </c>
      <c r="T194" s="36" t="s">
        <v>77</v>
      </c>
      <c r="U194" s="39">
        <f>S194*4/S191</f>
        <v>0.12718330655045029</v>
      </c>
      <c r="W194" s="33">
        <f>AB194</f>
        <v>26.910714285714285</v>
      </c>
      <c r="X194" s="50" t="s">
        <v>79</v>
      </c>
      <c r="Y194" s="35">
        <f>(E194+E195+G194+G195+I192+K193)/100</f>
        <v>1.68</v>
      </c>
      <c r="Z194" s="36" t="s">
        <v>69</v>
      </c>
      <c r="AA194" s="37" t="s">
        <v>80</v>
      </c>
      <c r="AB194" s="38">
        <f>Y193*5+Y196*4+Y197*5</f>
        <v>26.910714285714285</v>
      </c>
      <c r="AC194" s="36" t="s">
        <v>77</v>
      </c>
      <c r="AD194" s="39">
        <f>AB194*9/AB192</f>
        <v>0.27609654890509994</v>
      </c>
    </row>
    <row r="195" spans="1:30" ht="16.149999999999999" customHeight="1">
      <c r="A195" s="241"/>
      <c r="B195" s="95"/>
      <c r="C195" s="96"/>
      <c r="D195" s="67" t="s">
        <v>283</v>
      </c>
      <c r="E195" s="24">
        <v>5</v>
      </c>
      <c r="F195" s="44" t="s">
        <v>268</v>
      </c>
      <c r="G195" s="24">
        <v>15</v>
      </c>
      <c r="H195" s="55"/>
      <c r="I195" s="46"/>
      <c r="J195" s="69"/>
      <c r="K195" s="47"/>
      <c r="L195" s="62"/>
      <c r="M195" s="63"/>
      <c r="N195" s="49" t="s">
        <v>83</v>
      </c>
      <c r="O195" s="64" t="s">
        <v>84</v>
      </c>
      <c r="P195" s="59">
        <v>0</v>
      </c>
      <c r="Q195" s="36" t="s">
        <v>69</v>
      </c>
      <c r="R195" s="65"/>
      <c r="S195" s="65"/>
      <c r="T195" s="65"/>
      <c r="U195" s="66">
        <f>SUM(U192:U194)</f>
        <v>0.99999999999999989</v>
      </c>
      <c r="W195" s="49" t="s">
        <v>83</v>
      </c>
      <c r="X195" s="64" t="s">
        <v>81</v>
      </c>
      <c r="Y195" s="59">
        <v>0</v>
      </c>
      <c r="Z195" s="36" t="s">
        <v>69</v>
      </c>
      <c r="AA195" s="37" t="s">
        <v>82</v>
      </c>
      <c r="AB195" s="38">
        <f>Y192*2+Y193*7+Y194*1+Y196*8</f>
        <v>37.590294117647055</v>
      </c>
      <c r="AC195" s="36" t="s">
        <v>77</v>
      </c>
      <c r="AD195" s="39">
        <f>AB195*4/AB192</f>
        <v>0.17140715970795894</v>
      </c>
    </row>
    <row r="196" spans="1:30" ht="16.149999999999999" customHeight="1">
      <c r="A196" s="241" t="s">
        <v>85</v>
      </c>
      <c r="B196" s="95"/>
      <c r="C196" s="96"/>
      <c r="D196" s="45"/>
      <c r="E196" s="46"/>
      <c r="F196" s="32"/>
      <c r="G196" s="47"/>
      <c r="H196" s="55"/>
      <c r="I196" s="46"/>
      <c r="J196" s="69"/>
      <c r="K196" s="47"/>
      <c r="L196" s="55"/>
      <c r="M196" s="47"/>
      <c r="N196" s="33">
        <f>S194</f>
        <v>26.849054390054391</v>
      </c>
      <c r="O196" s="70" t="s">
        <v>86</v>
      </c>
      <c r="P196" s="59">
        <v>2.5</v>
      </c>
      <c r="Q196" s="36" t="s">
        <v>69</v>
      </c>
      <c r="R196" s="71"/>
      <c r="S196" s="71"/>
      <c r="T196" s="71"/>
      <c r="U196" s="72"/>
      <c r="W196" s="33">
        <f>AB195</f>
        <v>37.590294117647055</v>
      </c>
      <c r="X196" s="64" t="s">
        <v>84</v>
      </c>
      <c r="Y196" s="59">
        <v>0</v>
      </c>
      <c r="Z196" s="36" t="s">
        <v>69</v>
      </c>
      <c r="AA196" s="65"/>
      <c r="AB196" s="65"/>
      <c r="AC196" s="65"/>
      <c r="AD196" s="66">
        <f>SUM(AD193:AD195)</f>
        <v>0.99999999999999989</v>
      </c>
    </row>
    <row r="197" spans="1:30" ht="16.149999999999999" customHeight="1" thickBot="1">
      <c r="A197" s="241"/>
      <c r="B197" s="95"/>
      <c r="C197" s="96"/>
      <c r="D197" s="128"/>
      <c r="E197" s="51"/>
      <c r="F197" s="32"/>
      <c r="G197" s="47"/>
      <c r="H197" s="55"/>
      <c r="I197" s="46"/>
      <c r="J197" s="73"/>
      <c r="K197" s="74"/>
      <c r="L197" s="32"/>
      <c r="M197" s="47"/>
      <c r="N197" s="49" t="s">
        <v>87</v>
      </c>
      <c r="O197" s="75" t="s">
        <v>88</v>
      </c>
      <c r="P197" s="76">
        <f>P191*68+P192*73+P193*24+P194*60+P195*112+P196*45</f>
        <v>844.42070640470638</v>
      </c>
      <c r="Q197" s="77" t="s">
        <v>71</v>
      </c>
      <c r="R197" s="78"/>
      <c r="S197" s="78"/>
      <c r="T197" s="78"/>
      <c r="U197" s="79"/>
      <c r="W197" s="49" t="s">
        <v>87</v>
      </c>
      <c r="X197" s="70" t="s">
        <v>86</v>
      </c>
      <c r="Y197" s="59">
        <v>2.4</v>
      </c>
      <c r="Z197" s="36" t="s">
        <v>69</v>
      </c>
      <c r="AA197" s="71"/>
      <c r="AB197" s="71"/>
      <c r="AC197" s="71"/>
      <c r="AD197" s="72"/>
    </row>
    <row r="198" spans="1:30" ht="16.149999999999999" customHeight="1" thickBot="1">
      <c r="A198" s="242"/>
      <c r="B198" s="234" t="s">
        <v>240</v>
      </c>
      <c r="C198" s="235"/>
      <c r="D198" s="234" t="s">
        <v>355</v>
      </c>
      <c r="E198" s="235"/>
      <c r="F198" s="234" t="s">
        <v>223</v>
      </c>
      <c r="G198" s="235"/>
      <c r="H198" s="234" t="s">
        <v>96</v>
      </c>
      <c r="I198" s="235"/>
      <c r="J198" s="234" t="s">
        <v>223</v>
      </c>
      <c r="K198" s="235"/>
      <c r="L198" s="234" t="s">
        <v>97</v>
      </c>
      <c r="M198" s="235"/>
      <c r="N198" s="80">
        <f>P197</f>
        <v>844.42070640470638</v>
      </c>
      <c r="O198" s="81"/>
      <c r="P198" s="82"/>
      <c r="Q198" s="82"/>
      <c r="R198" s="82"/>
      <c r="S198" s="82"/>
      <c r="T198" s="82"/>
      <c r="U198" s="83"/>
      <c r="W198" s="80">
        <f>Y198</f>
        <v>877.21642857142865</v>
      </c>
      <c r="X198" s="75" t="s">
        <v>88</v>
      </c>
      <c r="Y198" s="76">
        <f>Y192*68+Y193*73+Y194*24+Y195*60+Y196*112+Y197*45</f>
        <v>877.21642857142865</v>
      </c>
      <c r="Z198" s="77" t="s">
        <v>71</v>
      </c>
      <c r="AA198" s="78"/>
      <c r="AB198" s="78"/>
      <c r="AC198" s="78"/>
      <c r="AD198" s="79"/>
    </row>
    <row r="199" spans="1:30" ht="16.149999999999999" customHeight="1" thickBot="1">
      <c r="A199" s="251">
        <f>A191+1</f>
        <v>43949</v>
      </c>
      <c r="B199" s="255" t="s">
        <v>243</v>
      </c>
      <c r="C199" s="256"/>
      <c r="D199" s="243" t="s">
        <v>244</v>
      </c>
      <c r="E199" s="252"/>
      <c r="F199" s="261" t="s">
        <v>245</v>
      </c>
      <c r="G199" s="256"/>
      <c r="H199" s="243" t="s">
        <v>90</v>
      </c>
      <c r="I199" s="254"/>
      <c r="J199" s="243" t="s">
        <v>246</v>
      </c>
      <c r="K199" s="244"/>
      <c r="L199" s="253" t="s">
        <v>178</v>
      </c>
      <c r="M199" s="244"/>
      <c r="N199" s="16" t="s">
        <v>67</v>
      </c>
      <c r="O199" s="245" t="s">
        <v>73</v>
      </c>
      <c r="P199" s="246"/>
      <c r="Q199" s="247"/>
      <c r="R199" s="248" t="s">
        <v>74</v>
      </c>
      <c r="S199" s="249"/>
      <c r="T199" s="249"/>
      <c r="U199" s="250"/>
      <c r="W199" s="16" t="s">
        <v>67</v>
      </c>
      <c r="X199" s="245" t="s">
        <v>73</v>
      </c>
      <c r="Y199" s="246"/>
      <c r="Z199" s="247"/>
      <c r="AA199" s="248" t="s">
        <v>74</v>
      </c>
      <c r="AB199" s="249"/>
      <c r="AC199" s="249"/>
      <c r="AD199" s="250"/>
    </row>
    <row r="200" spans="1:30" ht="16.149999999999999" customHeight="1">
      <c r="A200" s="241"/>
      <c r="B200" s="45" t="s">
        <v>304</v>
      </c>
      <c r="C200" s="47">
        <v>60</v>
      </c>
      <c r="D200" s="85" t="s">
        <v>299</v>
      </c>
      <c r="E200" s="163">
        <v>50</v>
      </c>
      <c r="F200" s="135" t="s">
        <v>361</v>
      </c>
      <c r="G200" s="84">
        <v>15</v>
      </c>
      <c r="H200" s="85" t="s">
        <v>216</v>
      </c>
      <c r="I200" s="30">
        <v>100</v>
      </c>
      <c r="J200" s="25" t="s">
        <v>265</v>
      </c>
      <c r="K200" s="26">
        <v>20</v>
      </c>
      <c r="L200" s="32" t="s">
        <v>91</v>
      </c>
      <c r="M200" s="26">
        <v>110</v>
      </c>
      <c r="N200" s="33" t="e">
        <f>S201</f>
        <v>#REF!</v>
      </c>
      <c r="O200" s="17" t="s">
        <v>68</v>
      </c>
      <c r="P200" s="59">
        <f>G200/20+M200/20+M201/55</f>
        <v>6.795454545454545</v>
      </c>
      <c r="Q200" s="19" t="s">
        <v>69</v>
      </c>
      <c r="R200" s="86" t="s">
        <v>70</v>
      </c>
      <c r="S200" s="87" t="e">
        <f>P206</f>
        <v>#REF!</v>
      </c>
      <c r="T200" s="88" t="s">
        <v>71</v>
      </c>
      <c r="U200" s="89" t="s">
        <v>72</v>
      </c>
      <c r="W200" s="33">
        <f>AB201</f>
        <v>121.3</v>
      </c>
      <c r="X200" s="17" t="s">
        <v>68</v>
      </c>
      <c r="Y200" s="18">
        <f>M200/20+M201/20+G200/30</f>
        <v>7.5</v>
      </c>
      <c r="Z200" s="19" t="s">
        <v>69</v>
      </c>
      <c r="AA200" s="86" t="s">
        <v>70</v>
      </c>
      <c r="AB200" s="87">
        <f>Y206</f>
        <v>864.26077922077923</v>
      </c>
      <c r="AC200" s="88" t="s">
        <v>71</v>
      </c>
      <c r="AD200" s="89" t="s">
        <v>72</v>
      </c>
    </row>
    <row r="201" spans="1:30" ht="16.149999999999999" customHeight="1">
      <c r="A201" s="241"/>
      <c r="B201" s="106"/>
      <c r="C201" s="92"/>
      <c r="D201" s="85" t="s">
        <v>360</v>
      </c>
      <c r="E201" s="164">
        <v>5</v>
      </c>
      <c r="F201" s="54" t="s">
        <v>362</v>
      </c>
      <c r="G201" s="84">
        <v>30</v>
      </c>
      <c r="H201" s="45"/>
      <c r="I201" s="48"/>
      <c r="J201" s="45" t="s">
        <v>364</v>
      </c>
      <c r="K201" s="46">
        <v>10</v>
      </c>
      <c r="L201" s="32" t="s">
        <v>189</v>
      </c>
      <c r="M201" s="47">
        <v>30</v>
      </c>
      <c r="N201" s="49" t="s">
        <v>78</v>
      </c>
      <c r="O201" s="34" t="s">
        <v>75</v>
      </c>
      <c r="P201" s="35" t="e">
        <f>C200/35+G203/35+E203/55+#REF!*0.65/35</f>
        <v>#REF!</v>
      </c>
      <c r="Q201" s="36" t="s">
        <v>69</v>
      </c>
      <c r="R201" s="37" t="s">
        <v>76</v>
      </c>
      <c r="S201" s="38" t="e">
        <f>P200*15+P202*5+P203*15+P204*12</f>
        <v>#REF!</v>
      </c>
      <c r="T201" s="36" t="s">
        <v>77</v>
      </c>
      <c r="U201" s="39" t="e">
        <f>S201*4/S200</f>
        <v>#REF!</v>
      </c>
      <c r="W201" s="49" t="s">
        <v>78</v>
      </c>
      <c r="X201" s="34" t="s">
        <v>75</v>
      </c>
      <c r="Y201" s="35">
        <f>C200/35+E200/55+K201*0.6/35</f>
        <v>2.7948051948051944</v>
      </c>
      <c r="Z201" s="36" t="s">
        <v>69</v>
      </c>
      <c r="AA201" s="37" t="s">
        <v>76</v>
      </c>
      <c r="AB201" s="38">
        <f>Y200*15+Y202*5+Y203*15+Y204*12</f>
        <v>121.3</v>
      </c>
      <c r="AC201" s="36" t="s">
        <v>77</v>
      </c>
      <c r="AD201" s="39">
        <f>AB201*4/AB200</f>
        <v>0.56140462654970658</v>
      </c>
    </row>
    <row r="202" spans="1:30" ht="16.149999999999999" customHeight="1">
      <c r="A202" s="241"/>
      <c r="B202" s="56"/>
      <c r="C202" s="47"/>
      <c r="D202" s="85" t="s">
        <v>313</v>
      </c>
      <c r="E202" s="164">
        <v>1</v>
      </c>
      <c r="F202" s="138" t="s">
        <v>294</v>
      </c>
      <c r="G202" s="84">
        <v>10</v>
      </c>
      <c r="H202" s="55"/>
      <c r="I202" s="46"/>
      <c r="J202" s="152" t="s">
        <v>273</v>
      </c>
      <c r="K202" s="153">
        <v>0.4</v>
      </c>
      <c r="L202" s="130"/>
      <c r="M202" s="110"/>
      <c r="N202" s="33" t="e">
        <f>S202</f>
        <v>#REF!</v>
      </c>
      <c r="O202" s="50" t="s">
        <v>79</v>
      </c>
      <c r="P202" s="35" t="e">
        <f>(C201+G201+G202+E200+E201+E202+#REF!+I200+#REF!)/100</f>
        <v>#REF!</v>
      </c>
      <c r="Q202" s="36" t="s">
        <v>69</v>
      </c>
      <c r="R202" s="37" t="s">
        <v>80</v>
      </c>
      <c r="S202" s="38" t="e">
        <f>P201*5+P204*4+P205*5</f>
        <v>#REF!</v>
      </c>
      <c r="T202" s="36" t="s">
        <v>77</v>
      </c>
      <c r="U202" s="39" t="e">
        <f>S202*9/S200</f>
        <v>#REF!</v>
      </c>
      <c r="W202" s="33">
        <f>AB202</f>
        <v>25.97402597402597</v>
      </c>
      <c r="X202" s="50" t="s">
        <v>79</v>
      </c>
      <c r="Y202" s="35">
        <f>(E201+E202+G201+G202+G203+I200+K200)/100</f>
        <v>1.76</v>
      </c>
      <c r="Z202" s="36" t="s">
        <v>69</v>
      </c>
      <c r="AA202" s="37" t="s">
        <v>80</v>
      </c>
      <c r="AB202" s="38">
        <f>Y201*5+Y204*4+Y205*5</f>
        <v>25.97402597402597</v>
      </c>
      <c r="AC202" s="36" t="s">
        <v>77</v>
      </c>
      <c r="AD202" s="39">
        <f>AB202*9/AB200</f>
        <v>0.27048113183731221</v>
      </c>
    </row>
    <row r="203" spans="1:30" ht="16.149999999999999" customHeight="1">
      <c r="A203" s="241"/>
      <c r="B203" s="45"/>
      <c r="C203" s="46"/>
      <c r="D203" s="85"/>
      <c r="E203" s="164"/>
      <c r="F203" s="54" t="s">
        <v>363</v>
      </c>
      <c r="G203" s="46">
        <v>10</v>
      </c>
      <c r="H203" s="55"/>
      <c r="I203" s="46"/>
      <c r="J203" s="45"/>
      <c r="K203" s="57"/>
      <c r="L203" s="130"/>
      <c r="M203" s="110"/>
      <c r="N203" s="49" t="s">
        <v>83</v>
      </c>
      <c r="O203" s="58" t="s">
        <v>81</v>
      </c>
      <c r="P203" s="59">
        <v>0</v>
      </c>
      <c r="Q203" s="36" t="s">
        <v>69</v>
      </c>
      <c r="R203" s="37" t="s">
        <v>82</v>
      </c>
      <c r="S203" s="38" t="e">
        <f>P200*2+P201*7+P202*1+P204*8</f>
        <v>#REF!</v>
      </c>
      <c r="T203" s="36" t="s">
        <v>77</v>
      </c>
      <c r="U203" s="39" t="e">
        <f>S203*4/S200</f>
        <v>#REF!</v>
      </c>
      <c r="W203" s="49" t="s">
        <v>83</v>
      </c>
      <c r="X203" s="64" t="s">
        <v>81</v>
      </c>
      <c r="Y203" s="59">
        <v>0</v>
      </c>
      <c r="Z203" s="36" t="s">
        <v>69</v>
      </c>
      <c r="AA203" s="37" t="s">
        <v>82</v>
      </c>
      <c r="AB203" s="38">
        <f>Y200*2+Y201*7+Y202*1+Y204*8</f>
        <v>36.323636363636361</v>
      </c>
      <c r="AC203" s="36" t="s">
        <v>77</v>
      </c>
      <c r="AD203" s="39">
        <f>AB203*4/AB200</f>
        <v>0.16811424161298116</v>
      </c>
    </row>
    <row r="204" spans="1:30" ht="16.149999999999999" customHeight="1">
      <c r="A204" s="241" t="s">
        <v>89</v>
      </c>
      <c r="B204" s="143"/>
      <c r="C204" s="129"/>
      <c r="D204" s="85"/>
      <c r="E204" s="164"/>
      <c r="F204" s="54"/>
      <c r="G204" s="47"/>
      <c r="H204" s="55"/>
      <c r="I204" s="46"/>
      <c r="J204" s="67"/>
      <c r="K204" s="63"/>
      <c r="L204" s="130"/>
      <c r="M204" s="110"/>
      <c r="N204" s="33" t="e">
        <f>S203</f>
        <v>#REF!</v>
      </c>
      <c r="O204" s="64" t="s">
        <v>84</v>
      </c>
      <c r="P204" s="59">
        <v>0</v>
      </c>
      <c r="Q204" s="36" t="s">
        <v>69</v>
      </c>
      <c r="R204" s="65"/>
      <c r="S204" s="65"/>
      <c r="T204" s="65"/>
      <c r="U204" s="66" t="e">
        <f>SUM(U201:U203)</f>
        <v>#REF!</v>
      </c>
      <c r="W204" s="33">
        <f>AB203</f>
        <v>36.323636363636361</v>
      </c>
      <c r="X204" s="64" t="s">
        <v>84</v>
      </c>
      <c r="Y204" s="59">
        <v>0</v>
      </c>
      <c r="Z204" s="36" t="s">
        <v>69</v>
      </c>
      <c r="AA204" s="65"/>
      <c r="AB204" s="65"/>
      <c r="AC204" s="65"/>
      <c r="AD204" s="66">
        <f>SUM(AD201:AD203)</f>
        <v>0.99999999999999989</v>
      </c>
    </row>
    <row r="205" spans="1:30" ht="16.149999999999999" customHeight="1">
      <c r="A205" s="241"/>
      <c r="B205" s="55"/>
      <c r="C205" s="46"/>
      <c r="D205" s="62"/>
      <c r="E205" s="63"/>
      <c r="F205" s="128"/>
      <c r="G205" s="51"/>
      <c r="H205" s="55"/>
      <c r="I205" s="46"/>
      <c r="J205" s="73"/>
      <c r="K205" s="122"/>
      <c r="L205" s="130"/>
      <c r="M205" s="110"/>
      <c r="N205" s="49" t="s">
        <v>87</v>
      </c>
      <c r="O205" s="70" t="s">
        <v>86</v>
      </c>
      <c r="P205" s="59">
        <v>2.5</v>
      </c>
      <c r="Q205" s="36" t="s">
        <v>69</v>
      </c>
      <c r="R205" s="71"/>
      <c r="S205" s="71"/>
      <c r="T205" s="71"/>
      <c r="U205" s="72"/>
      <c r="W205" s="49" t="s">
        <v>87</v>
      </c>
      <c r="X205" s="70" t="s">
        <v>86</v>
      </c>
      <c r="Y205" s="59">
        <v>2.4</v>
      </c>
      <c r="Z205" s="36" t="s">
        <v>69</v>
      </c>
      <c r="AA205" s="71"/>
      <c r="AB205" s="71"/>
      <c r="AC205" s="71"/>
      <c r="AD205" s="72"/>
    </row>
    <row r="206" spans="1:30" ht="16.149999999999999" customHeight="1" thickBot="1">
      <c r="A206" s="242"/>
      <c r="B206" s="234" t="s">
        <v>223</v>
      </c>
      <c r="C206" s="235"/>
      <c r="D206" s="234" t="s">
        <v>247</v>
      </c>
      <c r="E206" s="235"/>
      <c r="F206" s="257" t="s">
        <v>208</v>
      </c>
      <c r="G206" s="235"/>
      <c r="H206" s="234" t="s">
        <v>96</v>
      </c>
      <c r="I206" s="235"/>
      <c r="J206" s="234" t="s">
        <v>223</v>
      </c>
      <c r="K206" s="235"/>
      <c r="L206" s="234" t="s">
        <v>97</v>
      </c>
      <c r="M206" s="235"/>
      <c r="N206" s="80" t="e">
        <f>P206</f>
        <v>#REF!</v>
      </c>
      <c r="O206" s="75" t="s">
        <v>88</v>
      </c>
      <c r="P206" s="76" t="e">
        <f>P200*68+P201*73+P202*24+P203*60+P204*112+P205*45</f>
        <v>#REF!</v>
      </c>
      <c r="Q206" s="77" t="s">
        <v>71</v>
      </c>
      <c r="R206" s="78"/>
      <c r="S206" s="78"/>
      <c r="T206" s="78"/>
      <c r="U206" s="79"/>
      <c r="W206" s="80">
        <f>Y206</f>
        <v>864.26077922077923</v>
      </c>
      <c r="X206" s="75" t="s">
        <v>88</v>
      </c>
      <c r="Y206" s="76">
        <f>Y200*68+Y201*73+Y202*24+Y203*60+Y204*112+Y205*45</f>
        <v>864.26077922077923</v>
      </c>
      <c r="Z206" s="77" t="s">
        <v>71</v>
      </c>
      <c r="AA206" s="78"/>
      <c r="AB206" s="78"/>
      <c r="AC206" s="78"/>
      <c r="AD206" s="79"/>
    </row>
    <row r="207" spans="1:30" ht="16.149999999999999" customHeight="1" thickBot="1">
      <c r="A207" s="251">
        <f>A199+1</f>
        <v>43950</v>
      </c>
      <c r="B207" s="255" t="s">
        <v>248</v>
      </c>
      <c r="C207" s="256"/>
      <c r="D207" s="253" t="s">
        <v>249</v>
      </c>
      <c r="E207" s="244"/>
      <c r="F207" s="253" t="s">
        <v>250</v>
      </c>
      <c r="G207" s="244"/>
      <c r="H207" s="243" t="s">
        <v>90</v>
      </c>
      <c r="I207" s="254"/>
      <c r="J207" s="255" t="s">
        <v>251</v>
      </c>
      <c r="K207" s="256"/>
      <c r="L207" s="259" t="s">
        <v>188</v>
      </c>
      <c r="M207" s="260"/>
      <c r="N207" s="16" t="s">
        <v>67</v>
      </c>
      <c r="O207" s="245" t="s">
        <v>73</v>
      </c>
      <c r="P207" s="246"/>
      <c r="Q207" s="247"/>
      <c r="R207" s="248" t="s">
        <v>74</v>
      </c>
      <c r="S207" s="249"/>
      <c r="T207" s="249"/>
      <c r="U207" s="250"/>
      <c r="W207" s="16" t="s">
        <v>67</v>
      </c>
      <c r="X207" s="245" t="s">
        <v>73</v>
      </c>
      <c r="Y207" s="246"/>
      <c r="Z207" s="247"/>
      <c r="AA207" s="248" t="s">
        <v>74</v>
      </c>
      <c r="AB207" s="249"/>
      <c r="AC207" s="249"/>
      <c r="AD207" s="250"/>
    </row>
    <row r="208" spans="1:30" ht="16.149999999999999" customHeight="1">
      <c r="A208" s="241"/>
      <c r="B208" s="23" t="s">
        <v>287</v>
      </c>
      <c r="C208" s="43">
        <v>120</v>
      </c>
      <c r="D208" s="101" t="s">
        <v>365</v>
      </c>
      <c r="E208" s="28">
        <v>30</v>
      </c>
      <c r="F208" s="101" t="s">
        <v>366</v>
      </c>
      <c r="G208" s="28">
        <v>50</v>
      </c>
      <c r="H208" s="135" t="s">
        <v>202</v>
      </c>
      <c r="I208" s="30">
        <v>120</v>
      </c>
      <c r="J208" s="23" t="s">
        <v>368</v>
      </c>
      <c r="K208" s="43">
        <v>35</v>
      </c>
      <c r="L208" s="137" t="s">
        <v>91</v>
      </c>
      <c r="M208" s="104">
        <v>110</v>
      </c>
      <c r="N208" s="33" t="e">
        <f>S209</f>
        <v>#REF!</v>
      </c>
      <c r="O208" s="17" t="s">
        <v>68</v>
      </c>
      <c r="P208" s="59">
        <f>K210/35+M208/20</f>
        <v>5.5142857142857142</v>
      </c>
      <c r="Q208" s="19" t="s">
        <v>69</v>
      </c>
      <c r="R208" s="86" t="s">
        <v>70</v>
      </c>
      <c r="S208" s="87" t="e">
        <f>P214</f>
        <v>#REF!</v>
      </c>
      <c r="T208" s="88" t="s">
        <v>71</v>
      </c>
      <c r="U208" s="105"/>
      <c r="W208" s="33">
        <f>AB209</f>
        <v>140.72857142857146</v>
      </c>
      <c r="X208" s="17" t="s">
        <v>68</v>
      </c>
      <c r="Y208" s="18">
        <f>M208/20+M209/20+G208/35+E209/90</f>
        <v>8.7619047619047628</v>
      </c>
      <c r="Z208" s="19" t="s">
        <v>110</v>
      </c>
      <c r="AA208" s="86" t="s">
        <v>118</v>
      </c>
      <c r="AB208" s="87">
        <f>Y214</f>
        <v>952.84952380952382</v>
      </c>
      <c r="AC208" s="88" t="s">
        <v>71</v>
      </c>
      <c r="AD208" s="105"/>
    </row>
    <row r="209" spans="1:30" ht="16.149999999999999" customHeight="1">
      <c r="A209" s="241"/>
      <c r="B209" s="106" t="s">
        <v>273</v>
      </c>
      <c r="C209" s="92">
        <v>0.4</v>
      </c>
      <c r="D209" s="32" t="s">
        <v>296</v>
      </c>
      <c r="E209" s="47">
        <v>30</v>
      </c>
      <c r="F209" s="32" t="s">
        <v>367</v>
      </c>
      <c r="G209" s="47">
        <v>3</v>
      </c>
      <c r="H209" s="69"/>
      <c r="I209" s="92"/>
      <c r="J209" s="165" t="s">
        <v>337</v>
      </c>
      <c r="K209" s="129">
        <v>1</v>
      </c>
      <c r="L209" s="55" t="s">
        <v>229</v>
      </c>
      <c r="M209" s="110">
        <v>30</v>
      </c>
      <c r="N209" s="49" t="s">
        <v>78</v>
      </c>
      <c r="O209" s="34" t="s">
        <v>75</v>
      </c>
      <c r="P209" s="35">
        <f>C208*0.68/40+G225/35+G226/35+E217/15+K211/60</f>
        <v>3.3733333333333331</v>
      </c>
      <c r="Q209" s="36" t="s">
        <v>69</v>
      </c>
      <c r="R209" s="37" t="s">
        <v>76</v>
      </c>
      <c r="S209" s="38" t="e">
        <f>P208*15+P210*5+P211*15+P212*12</f>
        <v>#REF!</v>
      </c>
      <c r="T209" s="36" t="s">
        <v>77</v>
      </c>
      <c r="U209" s="39" t="e">
        <f>S209*4/S208</f>
        <v>#REF!</v>
      </c>
      <c r="W209" s="49" t="s">
        <v>78</v>
      </c>
      <c r="X209" s="34" t="s">
        <v>75</v>
      </c>
      <c r="Y209" s="35">
        <f>C208*0.6/40+E208/30</f>
        <v>2.8</v>
      </c>
      <c r="Z209" s="36" t="s">
        <v>69</v>
      </c>
      <c r="AA209" s="37" t="s">
        <v>76</v>
      </c>
      <c r="AB209" s="38">
        <f>Y208*15+Y210*5+Y211*15+Y212*12</f>
        <v>140.72857142857146</v>
      </c>
      <c r="AC209" s="36" t="s">
        <v>77</v>
      </c>
      <c r="AD209" s="39">
        <f>AB209*4/AB208</f>
        <v>0.59076934148398996</v>
      </c>
    </row>
    <row r="210" spans="1:30" ht="16.149999999999999" customHeight="1">
      <c r="A210" s="241"/>
      <c r="B210" s="56" t="s">
        <v>295</v>
      </c>
      <c r="C210" s="51">
        <v>5</v>
      </c>
      <c r="D210" s="55" t="s">
        <v>313</v>
      </c>
      <c r="E210" s="47">
        <v>10</v>
      </c>
      <c r="F210" s="55"/>
      <c r="G210" s="47"/>
      <c r="H210" s="69"/>
      <c r="I210" s="46"/>
      <c r="J210" s="165" t="s">
        <v>369</v>
      </c>
      <c r="K210" s="129">
        <v>0.5</v>
      </c>
      <c r="L210" s="130"/>
      <c r="M210" s="110"/>
      <c r="N210" s="33">
        <f>S210</f>
        <v>29.366666666666667</v>
      </c>
      <c r="O210" s="50" t="s">
        <v>79</v>
      </c>
      <c r="P210" s="35" t="e">
        <f>(G224+E216+#REF!+I208+K208+K209)/100</f>
        <v>#REF!</v>
      </c>
      <c r="Q210" s="36" t="s">
        <v>69</v>
      </c>
      <c r="R210" s="37" t="s">
        <v>80</v>
      </c>
      <c r="S210" s="38">
        <f>P209*5+P212*4+P213*5</f>
        <v>29.366666666666667</v>
      </c>
      <c r="T210" s="36" t="s">
        <v>77</v>
      </c>
      <c r="U210" s="39" t="e">
        <f>S210*9/S208</f>
        <v>#REF!</v>
      </c>
      <c r="W210" s="33">
        <f>AB210</f>
        <v>26</v>
      </c>
      <c r="X210" s="50" t="s">
        <v>79</v>
      </c>
      <c r="Y210" s="35">
        <f>(C210+E210+E211+E212+I208+K208+K209)/100</f>
        <v>1.86</v>
      </c>
      <c r="Z210" s="36" t="s">
        <v>69</v>
      </c>
      <c r="AA210" s="37" t="s">
        <v>80</v>
      </c>
      <c r="AB210" s="38">
        <f>Y209*5+Y212*4+Y213*5</f>
        <v>26</v>
      </c>
      <c r="AC210" s="36" t="s">
        <v>77</v>
      </c>
      <c r="AD210" s="39">
        <f>AB210*9/AB208</f>
        <v>0.24557917504587742</v>
      </c>
    </row>
    <row r="211" spans="1:30" ht="16.149999999999999" customHeight="1">
      <c r="A211" s="241"/>
      <c r="B211" s="56"/>
      <c r="C211" s="51"/>
      <c r="D211" s="56" t="s">
        <v>311</v>
      </c>
      <c r="E211" s="114">
        <v>5</v>
      </c>
      <c r="F211" s="32"/>
      <c r="G211" s="47"/>
      <c r="H211" s="69"/>
      <c r="I211" s="46"/>
      <c r="J211" s="95"/>
      <c r="K211" s="96"/>
      <c r="L211" s="67"/>
      <c r="M211" s="24"/>
      <c r="N211" s="49" t="s">
        <v>83</v>
      </c>
      <c r="O211" s="58" t="s">
        <v>81</v>
      </c>
      <c r="P211" s="59">
        <v>0</v>
      </c>
      <c r="Q211" s="36" t="s">
        <v>69</v>
      </c>
      <c r="R211" s="37" t="s">
        <v>82</v>
      </c>
      <c r="S211" s="38" t="e">
        <f>P208*2+P209*7+P210*1+P212*8</f>
        <v>#REF!</v>
      </c>
      <c r="T211" s="36" t="s">
        <v>77</v>
      </c>
      <c r="U211" s="39" t="e">
        <f>S211*4/S208</f>
        <v>#REF!</v>
      </c>
      <c r="W211" s="49" t="s">
        <v>83</v>
      </c>
      <c r="X211" s="64" t="s">
        <v>81</v>
      </c>
      <c r="Y211" s="59">
        <v>0</v>
      </c>
      <c r="Z211" s="36" t="s">
        <v>69</v>
      </c>
      <c r="AA211" s="37" t="s">
        <v>82</v>
      </c>
      <c r="AB211" s="38">
        <f>Y208*2+Y209*7+Y210*1+Y212*8</f>
        <v>38.983809523809526</v>
      </c>
      <c r="AC211" s="36" t="s">
        <v>77</v>
      </c>
      <c r="AD211" s="39">
        <f>AB211*4/AB208</f>
        <v>0.1636514834701327</v>
      </c>
    </row>
    <row r="212" spans="1:30" ht="16.149999999999999" customHeight="1">
      <c r="A212" s="241" t="s">
        <v>93</v>
      </c>
      <c r="B212" s="45"/>
      <c r="C212" s="46"/>
      <c r="D212" s="45" t="s">
        <v>330</v>
      </c>
      <c r="E212" s="114">
        <v>10</v>
      </c>
      <c r="F212" s="56"/>
      <c r="G212" s="47"/>
      <c r="H212" s="69"/>
      <c r="I212" s="46"/>
      <c r="J212" s="55"/>
      <c r="K212" s="47"/>
      <c r="L212" s="130"/>
      <c r="M212" s="110"/>
      <c r="N212" s="33" t="e">
        <f>S211</f>
        <v>#REF!</v>
      </c>
      <c r="O212" s="64" t="s">
        <v>84</v>
      </c>
      <c r="P212" s="59">
        <v>0</v>
      </c>
      <c r="Q212" s="36" t="s">
        <v>69</v>
      </c>
      <c r="R212" s="65"/>
      <c r="S212" s="65"/>
      <c r="T212" s="65"/>
      <c r="U212" s="66" t="e">
        <f>SUM(U209:U211)</f>
        <v>#REF!</v>
      </c>
      <c r="W212" s="33">
        <f>AB211</f>
        <v>38.983809523809526</v>
      </c>
      <c r="X212" s="64" t="s">
        <v>84</v>
      </c>
      <c r="Y212" s="59">
        <v>0</v>
      </c>
      <c r="Z212" s="36" t="s">
        <v>69</v>
      </c>
      <c r="AA212" s="65"/>
      <c r="AB212" s="65"/>
      <c r="AC212" s="65"/>
      <c r="AD212" s="66">
        <f>SUM(AD209:AD211)</f>
        <v>1</v>
      </c>
    </row>
    <row r="213" spans="1:30" ht="16.149999999999999" customHeight="1">
      <c r="A213" s="241"/>
      <c r="B213" s="55"/>
      <c r="C213" s="46"/>
      <c r="D213" s="44"/>
      <c r="E213" s="68"/>
      <c r="F213" s="62"/>
      <c r="G213" s="63"/>
      <c r="H213" s="27"/>
      <c r="I213" s="120"/>
      <c r="J213" s="55"/>
      <c r="K213" s="46"/>
      <c r="L213" s="126"/>
      <c r="M213" s="57"/>
      <c r="N213" s="49" t="s">
        <v>87</v>
      </c>
      <c r="O213" s="70" t="s">
        <v>86</v>
      </c>
      <c r="P213" s="59">
        <v>2.5</v>
      </c>
      <c r="Q213" s="36" t="s">
        <v>69</v>
      </c>
      <c r="R213" s="71"/>
      <c r="S213" s="71"/>
      <c r="T213" s="71"/>
      <c r="U213" s="72"/>
      <c r="W213" s="49" t="s">
        <v>87</v>
      </c>
      <c r="X213" s="70" t="s">
        <v>86</v>
      </c>
      <c r="Y213" s="59">
        <v>2.4</v>
      </c>
      <c r="Z213" s="36" t="s">
        <v>69</v>
      </c>
      <c r="AA213" s="71"/>
      <c r="AB213" s="71"/>
      <c r="AC213" s="71"/>
      <c r="AD213" s="72"/>
    </row>
    <row r="214" spans="1:30" ht="16.149999999999999" customHeight="1" thickBot="1">
      <c r="A214" s="242"/>
      <c r="B214" s="234" t="s">
        <v>256</v>
      </c>
      <c r="C214" s="235"/>
      <c r="D214" s="234" t="s">
        <v>256</v>
      </c>
      <c r="E214" s="257"/>
      <c r="F214" s="234" t="s">
        <v>247</v>
      </c>
      <c r="G214" s="235"/>
      <c r="H214" s="234" t="s">
        <v>96</v>
      </c>
      <c r="I214" s="235"/>
      <c r="J214" s="234" t="s">
        <v>223</v>
      </c>
      <c r="K214" s="235"/>
      <c r="L214" s="234" t="s">
        <v>97</v>
      </c>
      <c r="M214" s="235"/>
      <c r="N214" s="80" t="e">
        <f>P214</f>
        <v>#REF!</v>
      </c>
      <c r="O214" s="75" t="s">
        <v>88</v>
      </c>
      <c r="P214" s="76" t="e">
        <f>P208*68+P209*73+P210*24+P211*60+P212*112+P213*45</f>
        <v>#REF!</v>
      </c>
      <c r="Q214" s="77" t="s">
        <v>71</v>
      </c>
      <c r="R214" s="78"/>
      <c r="S214" s="78"/>
      <c r="T214" s="78"/>
      <c r="U214" s="79"/>
      <c r="W214" s="80">
        <f>Y214</f>
        <v>952.84952380952382</v>
      </c>
      <c r="X214" s="75" t="s">
        <v>88</v>
      </c>
      <c r="Y214" s="76">
        <f>Y208*68+Y209*73+Y210*24+Y211*60+Y212*112+Y213*45</f>
        <v>952.84952380952382</v>
      </c>
      <c r="Z214" s="77" t="s">
        <v>71</v>
      </c>
      <c r="AA214" s="78"/>
      <c r="AB214" s="78"/>
      <c r="AC214" s="78"/>
      <c r="AD214" s="79"/>
    </row>
    <row r="215" spans="1:30" ht="16.149999999999999" customHeight="1" thickBot="1">
      <c r="A215" s="251">
        <f>A207+1</f>
        <v>43951</v>
      </c>
      <c r="B215" s="255" t="s">
        <v>252</v>
      </c>
      <c r="C215" s="256"/>
      <c r="D215" s="243" t="s">
        <v>253</v>
      </c>
      <c r="E215" s="244"/>
      <c r="F215" s="243" t="s">
        <v>254</v>
      </c>
      <c r="G215" s="244"/>
      <c r="H215" s="243" t="s">
        <v>90</v>
      </c>
      <c r="I215" s="254"/>
      <c r="J215" s="255" t="s">
        <v>255</v>
      </c>
      <c r="K215" s="256"/>
      <c r="L215" s="258" t="s">
        <v>236</v>
      </c>
      <c r="M215" s="259"/>
      <c r="N215" s="16" t="s">
        <v>67</v>
      </c>
      <c r="O215" s="245" t="s">
        <v>73</v>
      </c>
      <c r="P215" s="246"/>
      <c r="Q215" s="247"/>
      <c r="R215" s="248" t="s">
        <v>74</v>
      </c>
      <c r="S215" s="249"/>
      <c r="T215" s="249"/>
      <c r="U215" s="250"/>
      <c r="W215" s="16" t="s">
        <v>67</v>
      </c>
      <c r="X215" s="245" t="s">
        <v>73</v>
      </c>
      <c r="Y215" s="246"/>
      <c r="Z215" s="247"/>
      <c r="AA215" s="248" t="s">
        <v>74</v>
      </c>
      <c r="AB215" s="249"/>
      <c r="AC215" s="249"/>
      <c r="AD215" s="250"/>
    </row>
    <row r="216" spans="1:30" ht="16.149999999999999" customHeight="1">
      <c r="A216" s="241"/>
      <c r="B216" s="45" t="s">
        <v>339</v>
      </c>
      <c r="C216" s="47">
        <v>75</v>
      </c>
      <c r="D216" s="41" t="s">
        <v>370</v>
      </c>
      <c r="E216" s="28">
        <v>30</v>
      </c>
      <c r="F216" s="112" t="s">
        <v>372</v>
      </c>
      <c r="G216" s="163">
        <v>40</v>
      </c>
      <c r="H216" s="29" t="s">
        <v>235</v>
      </c>
      <c r="I216" s="117">
        <v>120</v>
      </c>
      <c r="J216" s="118" t="s">
        <v>373</v>
      </c>
      <c r="K216" s="43">
        <v>20</v>
      </c>
      <c r="L216" s="25" t="s">
        <v>375</v>
      </c>
      <c r="M216" s="26">
        <v>90</v>
      </c>
      <c r="N216" s="33">
        <f>S217</f>
        <v>78.17</v>
      </c>
      <c r="O216" s="17" t="s">
        <v>68</v>
      </c>
      <c r="P216" s="59">
        <f>G211/35+M216/20</f>
        <v>4.5</v>
      </c>
      <c r="Q216" s="19" t="s">
        <v>69</v>
      </c>
      <c r="R216" s="86" t="s">
        <v>70</v>
      </c>
      <c r="S216" s="87" t="e">
        <f>P222</f>
        <v>#REF!</v>
      </c>
      <c r="T216" s="88" t="s">
        <v>71</v>
      </c>
      <c r="U216" s="89" t="s">
        <v>72</v>
      </c>
      <c r="W216" s="33">
        <f>AB217</f>
        <v>124.66470588235293</v>
      </c>
      <c r="X216" s="17" t="s">
        <v>68</v>
      </c>
      <c r="Y216" s="18">
        <f>M216/20+G216/30+E217/2/30+M221/85+K216/25+K217/15</f>
        <v>7.7509803921568619</v>
      </c>
      <c r="Z216" s="19" t="s">
        <v>69</v>
      </c>
      <c r="AA216" s="86" t="s">
        <v>70</v>
      </c>
      <c r="AB216" s="87">
        <f>Y222</f>
        <v>873.52952380952377</v>
      </c>
      <c r="AC216" s="88" t="s">
        <v>71</v>
      </c>
      <c r="AD216" s="89" t="s">
        <v>72</v>
      </c>
    </row>
    <row r="217" spans="1:30" ht="16.149999999999999" customHeight="1">
      <c r="A217" s="241"/>
      <c r="B217" s="106" t="s">
        <v>273</v>
      </c>
      <c r="C217" s="92">
        <v>0.4</v>
      </c>
      <c r="D217" s="56" t="s">
        <v>371</v>
      </c>
      <c r="E217" s="47">
        <v>20</v>
      </c>
      <c r="F217" s="32"/>
      <c r="G217" s="132"/>
      <c r="H217" s="52"/>
      <c r="I217" s="119"/>
      <c r="J217" s="165" t="s">
        <v>374</v>
      </c>
      <c r="K217" s="129">
        <v>10</v>
      </c>
      <c r="L217" s="56" t="s">
        <v>314</v>
      </c>
      <c r="M217" s="47">
        <v>12</v>
      </c>
      <c r="N217" s="49" t="s">
        <v>78</v>
      </c>
      <c r="O217" s="34" t="s">
        <v>75</v>
      </c>
      <c r="P217" s="35" t="e">
        <f>C216/35+#REF!/80+#REF!/35</f>
        <v>#REF!</v>
      </c>
      <c r="Q217" s="36" t="s">
        <v>69</v>
      </c>
      <c r="R217" s="37" t="s">
        <v>76</v>
      </c>
      <c r="S217" s="38">
        <f>P216*15+P218*5+P219*15+P220*12</f>
        <v>78.17</v>
      </c>
      <c r="T217" s="36" t="s">
        <v>77</v>
      </c>
      <c r="U217" s="39" t="e">
        <f>S217*4/S216</f>
        <v>#REF!</v>
      </c>
      <c r="W217" s="49" t="s">
        <v>78</v>
      </c>
      <c r="X217" s="34" t="s">
        <v>75</v>
      </c>
      <c r="Y217" s="35">
        <f>C216*0.6/35+E217/2/35+M218/35+M219/35+E219/35</f>
        <v>2.714285714285714</v>
      </c>
      <c r="Z217" s="36" t="s">
        <v>69</v>
      </c>
      <c r="AA217" s="37" t="s">
        <v>76</v>
      </c>
      <c r="AB217" s="38">
        <f>Y216*15+Y218*5+Y219*15+Y220*12</f>
        <v>124.66470588235293</v>
      </c>
      <c r="AC217" s="36" t="s">
        <v>77</v>
      </c>
      <c r="AD217" s="39">
        <f>AB217*4/AB216</f>
        <v>0.57085514563345896</v>
      </c>
    </row>
    <row r="218" spans="1:30" ht="16.149999999999999" customHeight="1">
      <c r="A218" s="241"/>
      <c r="B218" s="60"/>
      <c r="C218" s="47"/>
      <c r="D218" s="45" t="s">
        <v>313</v>
      </c>
      <c r="E218" s="47">
        <v>8</v>
      </c>
      <c r="F218" s="45"/>
      <c r="G218" s="46"/>
      <c r="H218" s="32"/>
      <c r="I218" s="47"/>
      <c r="J218" s="151"/>
      <c r="K218" s="129"/>
      <c r="L218" s="32" t="s">
        <v>257</v>
      </c>
      <c r="M218" s="47">
        <v>15</v>
      </c>
      <c r="N218" s="33" t="e">
        <f>S218</f>
        <v>#REF!</v>
      </c>
      <c r="O218" s="50" t="s">
        <v>79</v>
      </c>
      <c r="P218" s="35">
        <f>(G208+G209+G210+E219+I216+K200+K201+K202)/100</f>
        <v>2.1339999999999999</v>
      </c>
      <c r="Q218" s="36" t="s">
        <v>69</v>
      </c>
      <c r="R218" s="37" t="s">
        <v>80</v>
      </c>
      <c r="S218" s="38" t="e">
        <f>P217*5+P220*4+P221*5</f>
        <v>#REF!</v>
      </c>
      <c r="T218" s="36" t="s">
        <v>77</v>
      </c>
      <c r="U218" s="39" t="e">
        <f>S218*9/S216</f>
        <v>#REF!</v>
      </c>
      <c r="W218" s="33">
        <f>AB218</f>
        <v>25.571428571428569</v>
      </c>
      <c r="X218" s="50" t="s">
        <v>79</v>
      </c>
      <c r="Y218" s="35">
        <f>(E216+E218+I216+M220)/100</f>
        <v>1.68</v>
      </c>
      <c r="Z218" s="36" t="s">
        <v>69</v>
      </c>
      <c r="AA218" s="37" t="s">
        <v>80</v>
      </c>
      <c r="AB218" s="38">
        <f>Y217*5+Y220*4+Y221*5</f>
        <v>25.571428571428569</v>
      </c>
      <c r="AC218" s="36" t="s">
        <v>77</v>
      </c>
      <c r="AD218" s="39">
        <f>AB218*9/AB216</f>
        <v>0.26346316966962707</v>
      </c>
    </row>
    <row r="219" spans="1:30" ht="16.149999999999999" customHeight="1">
      <c r="A219" s="241"/>
      <c r="B219" s="62"/>
      <c r="C219" s="63"/>
      <c r="D219" s="93" t="s">
        <v>286</v>
      </c>
      <c r="E219" s="94">
        <v>10</v>
      </c>
      <c r="F219" s="166"/>
      <c r="G219" s="164"/>
      <c r="H219" s="62"/>
      <c r="I219" s="63"/>
      <c r="J219" s="45"/>
      <c r="K219" s="57"/>
      <c r="L219" s="32" t="s">
        <v>299</v>
      </c>
      <c r="M219" s="47">
        <v>15</v>
      </c>
      <c r="N219" s="49" t="s">
        <v>83</v>
      </c>
      <c r="O219" s="58" t="s">
        <v>81</v>
      </c>
      <c r="P219" s="59">
        <v>0</v>
      </c>
      <c r="Q219" s="36" t="s">
        <v>69</v>
      </c>
      <c r="R219" s="37" t="s">
        <v>82</v>
      </c>
      <c r="S219" s="38" t="e">
        <f>P216*2+P217*7+P218*1+P220*8</f>
        <v>#REF!</v>
      </c>
      <c r="T219" s="36" t="s">
        <v>77</v>
      </c>
      <c r="U219" s="39" t="e">
        <f>S219*4/S216</f>
        <v>#REF!</v>
      </c>
      <c r="W219" s="49" t="s">
        <v>83</v>
      </c>
      <c r="X219" s="64" t="s">
        <v>81</v>
      </c>
      <c r="Y219" s="59">
        <v>0</v>
      </c>
      <c r="Z219" s="36" t="s">
        <v>69</v>
      </c>
      <c r="AA219" s="37" t="s">
        <v>82</v>
      </c>
      <c r="AB219" s="38">
        <f>Y216*2+Y217*7+Y218*1+Y220*8</f>
        <v>36.181960784313723</v>
      </c>
      <c r="AC219" s="36" t="s">
        <v>77</v>
      </c>
      <c r="AD219" s="39">
        <f>AB219*4/AB216</f>
        <v>0.16568168469691394</v>
      </c>
    </row>
    <row r="220" spans="1:30" ht="16.149999999999999" customHeight="1">
      <c r="A220" s="241" t="s">
        <v>99</v>
      </c>
      <c r="B220" s="62"/>
      <c r="C220" s="63"/>
      <c r="D220" s="62"/>
      <c r="E220" s="63"/>
      <c r="F220" s="45"/>
      <c r="G220" s="57"/>
      <c r="H220" s="44"/>
      <c r="I220" s="121"/>
      <c r="J220" s="67"/>
      <c r="K220" s="63"/>
      <c r="L220" s="32" t="s">
        <v>313</v>
      </c>
      <c r="M220" s="47">
        <v>10</v>
      </c>
      <c r="N220" s="33" t="e">
        <f>S219</f>
        <v>#REF!</v>
      </c>
      <c r="O220" s="64" t="s">
        <v>84</v>
      </c>
      <c r="P220" s="59">
        <v>0</v>
      </c>
      <c r="Q220" s="36" t="s">
        <v>69</v>
      </c>
      <c r="R220" s="65"/>
      <c r="S220" s="65"/>
      <c r="T220" s="65"/>
      <c r="U220" s="66" t="e">
        <f>SUM(U217:U219)</f>
        <v>#REF!</v>
      </c>
      <c r="W220" s="33">
        <f>AB219</f>
        <v>36.181960784313723</v>
      </c>
      <c r="X220" s="64" t="s">
        <v>84</v>
      </c>
      <c r="Y220" s="59">
        <v>0</v>
      </c>
      <c r="Z220" s="36" t="s">
        <v>69</v>
      </c>
      <c r="AA220" s="65"/>
      <c r="AB220" s="65"/>
      <c r="AC220" s="65"/>
      <c r="AD220" s="66">
        <f>SUM(AD217:AD219)</f>
        <v>0.99999999999999989</v>
      </c>
    </row>
    <row r="221" spans="1:30" ht="16.149999999999999" customHeight="1">
      <c r="A221" s="241"/>
      <c r="B221" s="45"/>
      <c r="C221" s="133"/>
      <c r="D221" s="44"/>
      <c r="E221" s="24"/>
      <c r="F221" s="62"/>
      <c r="G221" s="63"/>
      <c r="H221" s="44"/>
      <c r="I221" s="121"/>
      <c r="J221" s="73"/>
      <c r="K221" s="122"/>
      <c r="L221" s="56" t="s">
        <v>351</v>
      </c>
      <c r="M221" s="57">
        <v>10</v>
      </c>
      <c r="N221" s="49" t="s">
        <v>87</v>
      </c>
      <c r="O221" s="70" t="s">
        <v>86</v>
      </c>
      <c r="P221" s="59">
        <v>2.5</v>
      </c>
      <c r="Q221" s="36" t="s">
        <v>69</v>
      </c>
      <c r="R221" s="71"/>
      <c r="S221" s="71"/>
      <c r="T221" s="71"/>
      <c r="U221" s="72"/>
      <c r="W221" s="49" t="s">
        <v>87</v>
      </c>
      <c r="X221" s="70" t="s">
        <v>86</v>
      </c>
      <c r="Y221" s="59">
        <v>2.4</v>
      </c>
      <c r="Z221" s="36" t="s">
        <v>69</v>
      </c>
      <c r="AA221" s="71"/>
      <c r="AB221" s="71"/>
      <c r="AC221" s="71"/>
      <c r="AD221" s="72"/>
    </row>
    <row r="222" spans="1:30" ht="16.149999999999999" customHeight="1" thickBot="1">
      <c r="A222" s="242"/>
      <c r="B222" s="234" t="s">
        <v>241</v>
      </c>
      <c r="C222" s="235"/>
      <c r="D222" s="257" t="s">
        <v>208</v>
      </c>
      <c r="E222" s="235"/>
      <c r="F222" s="234" t="s">
        <v>224</v>
      </c>
      <c r="G222" s="235"/>
      <c r="H222" s="234" t="s">
        <v>96</v>
      </c>
      <c r="I222" s="235"/>
      <c r="J222" s="234" t="s">
        <v>223</v>
      </c>
      <c r="K222" s="235"/>
      <c r="L222" s="234" t="s">
        <v>208</v>
      </c>
      <c r="M222" s="235"/>
      <c r="N222" s="80" t="e">
        <f>P222</f>
        <v>#REF!</v>
      </c>
      <c r="O222" s="75" t="s">
        <v>88</v>
      </c>
      <c r="P222" s="76" t="e">
        <f>P216*68+P217*73+P218*24+P219*60+P220*112+P221*45</f>
        <v>#REF!</v>
      </c>
      <c r="Q222" s="77" t="s">
        <v>71</v>
      </c>
      <c r="R222" s="78"/>
      <c r="S222" s="78"/>
      <c r="T222" s="78"/>
      <c r="U222" s="79"/>
      <c r="W222" s="80">
        <f>Y222</f>
        <v>873.52952380952377</v>
      </c>
      <c r="X222" s="75" t="s">
        <v>88</v>
      </c>
      <c r="Y222" s="76">
        <f>Y216*68+Y217*73+Y218*24+Y219*60+Y220*112+Y221*45</f>
        <v>873.52952380952377</v>
      </c>
      <c r="Z222" s="77" t="s">
        <v>71</v>
      </c>
      <c r="AA222" s="78"/>
      <c r="AB222" s="78"/>
      <c r="AC222" s="78"/>
      <c r="AD222" s="79"/>
    </row>
    <row r="223" spans="1:30" ht="16.149999999999999" customHeight="1" thickBot="1">
      <c r="A223" s="251"/>
      <c r="B223" s="243"/>
      <c r="C223" s="252"/>
      <c r="D223" s="253"/>
      <c r="E223" s="244"/>
      <c r="F223" s="243"/>
      <c r="G223" s="244"/>
      <c r="H223" s="243"/>
      <c r="I223" s="254"/>
      <c r="J223" s="255"/>
      <c r="K223" s="256"/>
      <c r="L223" s="243"/>
      <c r="M223" s="244"/>
      <c r="N223" s="16" t="s">
        <v>67</v>
      </c>
      <c r="O223" s="245" t="s">
        <v>73</v>
      </c>
      <c r="P223" s="246"/>
      <c r="Q223" s="247"/>
      <c r="R223" s="248" t="s">
        <v>74</v>
      </c>
      <c r="S223" s="249"/>
      <c r="T223" s="249"/>
      <c r="U223" s="250"/>
      <c r="W223" s="16" t="s">
        <v>67</v>
      </c>
      <c r="X223" s="245" t="s">
        <v>73</v>
      </c>
      <c r="Y223" s="246"/>
      <c r="Z223" s="247"/>
      <c r="AA223" s="248" t="s">
        <v>74</v>
      </c>
      <c r="AB223" s="249"/>
      <c r="AC223" s="249"/>
      <c r="AD223" s="250"/>
    </row>
    <row r="224" spans="1:30" ht="16.149999999999999" customHeight="1">
      <c r="A224" s="241"/>
      <c r="B224" s="45"/>
      <c r="C224" s="48"/>
      <c r="D224" s="101"/>
      <c r="E224" s="28"/>
      <c r="F224" s="61"/>
      <c r="G224" s="46"/>
      <c r="H224" s="41"/>
      <c r="I224" s="28"/>
      <c r="J224" s="118"/>
      <c r="K224" s="43"/>
      <c r="L224" s="125"/>
      <c r="M224" s="26"/>
      <c r="N224" s="33" t="e">
        <f>S225</f>
        <v>#REF!</v>
      </c>
      <c r="O224" s="17" t="s">
        <v>68</v>
      </c>
      <c r="P224" s="59">
        <f>G229/55+M224/20+M225/20</f>
        <v>0</v>
      </c>
      <c r="Q224" s="19" t="s">
        <v>69</v>
      </c>
      <c r="R224" s="86" t="s">
        <v>70</v>
      </c>
      <c r="S224" s="87" t="e">
        <f>P230</f>
        <v>#REF!</v>
      </c>
      <c r="T224" s="88" t="s">
        <v>71</v>
      </c>
      <c r="U224" s="105"/>
      <c r="W224" s="33">
        <f>AB225</f>
        <v>0</v>
      </c>
      <c r="X224" s="17" t="s">
        <v>68</v>
      </c>
      <c r="Y224" s="59">
        <f>M224/20+M225/20+E224/85+E225/90</f>
        <v>0</v>
      </c>
      <c r="Z224" s="19" t="s">
        <v>69</v>
      </c>
      <c r="AA224" s="86" t="s">
        <v>70</v>
      </c>
      <c r="AB224" s="87">
        <f>Y230</f>
        <v>108</v>
      </c>
      <c r="AC224" s="88" t="s">
        <v>71</v>
      </c>
      <c r="AD224" s="105"/>
    </row>
    <row r="225" spans="1:30" ht="16.149999999999999" customHeight="1">
      <c r="A225" s="241"/>
      <c r="B225" s="45"/>
      <c r="C225" s="48"/>
      <c r="D225" s="32"/>
      <c r="E225" s="47"/>
      <c r="F225" s="61"/>
      <c r="G225" s="46"/>
      <c r="H225" s="56"/>
      <c r="I225" s="47"/>
      <c r="J225" s="165"/>
      <c r="K225" s="129"/>
      <c r="L225" s="32"/>
      <c r="M225" s="47"/>
      <c r="N225" s="49" t="s">
        <v>78</v>
      </c>
      <c r="O225" s="34" t="s">
        <v>75</v>
      </c>
      <c r="P225" s="35" t="e">
        <f>C224*0.58/40+E226/55+#REF!*0.52/35+#REF!/80</f>
        <v>#REF!</v>
      </c>
      <c r="Q225" s="36" t="s">
        <v>69</v>
      </c>
      <c r="R225" s="37" t="s">
        <v>76</v>
      </c>
      <c r="S225" s="38" t="e">
        <f>P224*15+P226*5+P227*15+P228*12</f>
        <v>#REF!</v>
      </c>
      <c r="T225" s="36" t="s">
        <v>77</v>
      </c>
      <c r="U225" s="39" t="e">
        <f>S225*4/S224</f>
        <v>#REF!</v>
      </c>
      <c r="W225" s="49" t="s">
        <v>78</v>
      </c>
      <c r="X225" s="34" t="s">
        <v>75</v>
      </c>
      <c r="Y225" s="35">
        <f>C224/35+E227/55+K225/30</f>
        <v>0</v>
      </c>
      <c r="Z225" s="36" t="s">
        <v>69</v>
      </c>
      <c r="AA225" s="37" t="s">
        <v>76</v>
      </c>
      <c r="AB225" s="38">
        <f>Y224*15+Y226*5+Y227*15+Y228*12</f>
        <v>0</v>
      </c>
      <c r="AC225" s="36" t="s">
        <v>77</v>
      </c>
      <c r="AD225" s="39">
        <f>AB225*4/AB224</f>
        <v>0</v>
      </c>
    </row>
    <row r="226" spans="1:30" ht="16.149999999999999" customHeight="1">
      <c r="A226" s="241"/>
      <c r="B226" s="61"/>
      <c r="C226" s="51"/>
      <c r="D226" s="55"/>
      <c r="E226" s="47"/>
      <c r="F226" s="44"/>
      <c r="G226" s="24"/>
      <c r="H226" s="56"/>
      <c r="I226" s="47"/>
      <c r="J226" s="152"/>
      <c r="K226" s="153"/>
      <c r="L226" s="45"/>
      <c r="M226" s="57"/>
      <c r="N226" s="33" t="e">
        <f>S226</f>
        <v>#REF!</v>
      </c>
      <c r="O226" s="50" t="s">
        <v>79</v>
      </c>
      <c r="P226" s="35" t="e">
        <f>(E224+E225+E226+E227+#REF!+#REF!+I224+#REF!+#REF!)/100</f>
        <v>#REF!</v>
      </c>
      <c r="Q226" s="36" t="s">
        <v>69</v>
      </c>
      <c r="R226" s="37" t="s">
        <v>80</v>
      </c>
      <c r="S226" s="38" t="e">
        <f>P225*5+P228*4+P229*5</f>
        <v>#REF!</v>
      </c>
      <c r="T226" s="36" t="s">
        <v>77</v>
      </c>
      <c r="U226" s="39" t="e">
        <f>S226*9/S224</f>
        <v>#REF!</v>
      </c>
      <c r="W226" s="33">
        <f>AB226</f>
        <v>12</v>
      </c>
      <c r="X226" s="50" t="s">
        <v>79</v>
      </c>
      <c r="Y226" s="35">
        <f>(C225+C226+G224+G226+I224+K224)/100</f>
        <v>0</v>
      </c>
      <c r="Z226" s="36" t="s">
        <v>69</v>
      </c>
      <c r="AA226" s="37" t="s">
        <v>80</v>
      </c>
      <c r="AB226" s="38">
        <f>Y225*5+Y228*4+Y229*5</f>
        <v>12</v>
      </c>
      <c r="AC226" s="36" t="s">
        <v>77</v>
      </c>
      <c r="AD226" s="39">
        <f>AB226*9/AB224</f>
        <v>1</v>
      </c>
    </row>
    <row r="227" spans="1:30" ht="16.149999999999999" customHeight="1">
      <c r="A227" s="241"/>
      <c r="B227" s="128"/>
      <c r="C227" s="51"/>
      <c r="D227" s="32"/>
      <c r="E227" s="47"/>
      <c r="F227" s="55"/>
      <c r="G227" s="68"/>
      <c r="H227" s="32"/>
      <c r="I227" s="47"/>
      <c r="J227" s="45"/>
      <c r="K227" s="57"/>
      <c r="L227" s="56"/>
      <c r="M227" s="120"/>
      <c r="N227" s="49" t="s">
        <v>83</v>
      </c>
      <c r="O227" s="58" t="s">
        <v>81</v>
      </c>
      <c r="P227" s="59">
        <v>0</v>
      </c>
      <c r="Q227" s="36" t="s">
        <v>69</v>
      </c>
      <c r="R227" s="37" t="s">
        <v>82</v>
      </c>
      <c r="S227" s="38" t="e">
        <f>P224*2+P225*7+P226*1+P228*8</f>
        <v>#REF!</v>
      </c>
      <c r="T227" s="36" t="s">
        <v>77</v>
      </c>
      <c r="U227" s="39" t="e">
        <f>S227*4/S224</f>
        <v>#REF!</v>
      </c>
      <c r="W227" s="49" t="s">
        <v>83</v>
      </c>
      <c r="X227" s="64" t="s">
        <v>81</v>
      </c>
      <c r="Y227" s="59">
        <v>0</v>
      </c>
      <c r="Z227" s="36" t="s">
        <v>69</v>
      </c>
      <c r="AA227" s="37" t="s">
        <v>82</v>
      </c>
      <c r="AB227" s="38">
        <f>Y224*2+Y225*7+Y226*1+Y228*8</f>
        <v>0</v>
      </c>
      <c r="AC227" s="36" t="s">
        <v>77</v>
      </c>
      <c r="AD227" s="39">
        <f>AB227*4/AB224</f>
        <v>0</v>
      </c>
    </row>
    <row r="228" spans="1:30" ht="16.149999999999999" customHeight="1">
      <c r="A228" s="241"/>
      <c r="B228" s="45"/>
      <c r="C228" s="133"/>
      <c r="D228" s="56"/>
      <c r="E228" s="47"/>
      <c r="F228" s="44"/>
      <c r="G228" s="68"/>
      <c r="H228" s="32"/>
      <c r="I228" s="47"/>
      <c r="J228" s="67"/>
      <c r="K228" s="63"/>
      <c r="L228" s="56"/>
      <c r="M228" s="120"/>
      <c r="N228" s="33" t="e">
        <f>S227</f>
        <v>#REF!</v>
      </c>
      <c r="O228" s="64" t="s">
        <v>84</v>
      </c>
      <c r="P228" s="59">
        <v>0</v>
      </c>
      <c r="Q228" s="36" t="s">
        <v>69</v>
      </c>
      <c r="R228" s="65"/>
      <c r="S228" s="65"/>
      <c r="T228" s="65"/>
      <c r="U228" s="66" t="e">
        <f>SUM(U225:U227)</f>
        <v>#REF!</v>
      </c>
      <c r="W228" s="33">
        <f>AB227</f>
        <v>0</v>
      </c>
      <c r="X228" s="64" t="s">
        <v>84</v>
      </c>
      <c r="Y228" s="59">
        <v>0</v>
      </c>
      <c r="Z228" s="36" t="s">
        <v>69</v>
      </c>
      <c r="AA228" s="65"/>
      <c r="AB228" s="65"/>
      <c r="AC228" s="65"/>
      <c r="AD228" s="66">
        <f>SUM(AD225:AD227)</f>
        <v>1</v>
      </c>
    </row>
    <row r="229" spans="1:30" ht="16.149999999999999" customHeight="1">
      <c r="A229" s="241"/>
      <c r="B229" s="45"/>
      <c r="C229" s="133"/>
      <c r="D229" s="62"/>
      <c r="E229" s="63"/>
      <c r="F229" s="45"/>
      <c r="G229" s="47"/>
      <c r="H229" s="126"/>
      <c r="I229" s="57"/>
      <c r="J229" s="73"/>
      <c r="K229" s="122"/>
      <c r="L229" s="56"/>
      <c r="M229" s="120"/>
      <c r="N229" s="49" t="s">
        <v>87</v>
      </c>
      <c r="O229" s="70" t="s">
        <v>86</v>
      </c>
      <c r="P229" s="59">
        <v>2.5</v>
      </c>
      <c r="Q229" s="36" t="s">
        <v>69</v>
      </c>
      <c r="R229" s="71"/>
      <c r="S229" s="71"/>
      <c r="T229" s="71"/>
      <c r="U229" s="72"/>
      <c r="W229" s="49" t="s">
        <v>87</v>
      </c>
      <c r="X229" s="70" t="s">
        <v>86</v>
      </c>
      <c r="Y229" s="59">
        <v>2.4</v>
      </c>
      <c r="Z229" s="36" t="s">
        <v>69</v>
      </c>
      <c r="AA229" s="71"/>
      <c r="AB229" s="71"/>
      <c r="AC229" s="71"/>
      <c r="AD229" s="72"/>
    </row>
    <row r="230" spans="1:30" ht="16.149999999999999" customHeight="1" thickBot="1">
      <c r="A230" s="242"/>
      <c r="B230" s="234"/>
      <c r="C230" s="235"/>
      <c r="D230" s="234"/>
      <c r="E230" s="235"/>
      <c r="F230" s="234"/>
      <c r="G230" s="235"/>
      <c r="H230" s="234"/>
      <c r="I230" s="235"/>
      <c r="J230" s="234"/>
      <c r="K230" s="235"/>
      <c r="L230" s="234"/>
      <c r="M230" s="235"/>
      <c r="N230" s="80" t="e">
        <f>P230</f>
        <v>#REF!</v>
      </c>
      <c r="O230" s="75" t="s">
        <v>88</v>
      </c>
      <c r="P230" s="76" t="e">
        <f>P224*68+P225*73+P226*24+P227*60+P228*112+P229*45</f>
        <v>#REF!</v>
      </c>
      <c r="Q230" s="77" t="s">
        <v>71</v>
      </c>
      <c r="R230" s="78"/>
      <c r="S230" s="78"/>
      <c r="T230" s="78"/>
      <c r="U230" s="79"/>
      <c r="W230" s="80">
        <f>Y230</f>
        <v>108</v>
      </c>
      <c r="X230" s="75" t="s">
        <v>88</v>
      </c>
      <c r="Y230" s="76">
        <f>Y224*68+Y225*73+Y226*24+Y227*60+Y228*112+Y229*45</f>
        <v>108</v>
      </c>
      <c r="Z230" s="77" t="s">
        <v>71</v>
      </c>
      <c r="AA230" s="78"/>
      <c r="AB230" s="78"/>
      <c r="AC230" s="78"/>
      <c r="AD230" s="79"/>
    </row>
    <row r="231" spans="1:30">
      <c r="A231" s="236" t="s">
        <v>102</v>
      </c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</row>
    <row r="232" spans="1:30" ht="16.149999999999999" customHeight="1">
      <c r="A232" s="238" t="s">
        <v>103</v>
      </c>
      <c r="B232" s="238"/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</row>
    <row r="233" spans="1:30">
      <c r="A233" s="239" t="s">
        <v>104</v>
      </c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</row>
    <row r="234" spans="1:30" ht="16.149999999999999" customHeight="1">
      <c r="A234" s="240" t="s">
        <v>105</v>
      </c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</row>
    <row r="235" spans="1:30">
      <c r="A235" s="233" t="s">
        <v>106</v>
      </c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</row>
  </sheetData>
  <mergeCells count="480">
    <mergeCell ref="A1:M1"/>
    <mergeCell ref="O2:U2"/>
    <mergeCell ref="X2:AD2"/>
    <mergeCell ref="A3:A7"/>
    <mergeCell ref="B3:C3"/>
    <mergeCell ref="D3:E3"/>
    <mergeCell ref="F3:G3"/>
    <mergeCell ref="H3:I3"/>
    <mergeCell ref="J3:K3"/>
    <mergeCell ref="L3:M3"/>
    <mergeCell ref="X3:Z3"/>
    <mergeCell ref="AA3:AD3"/>
    <mergeCell ref="AA19:AD19"/>
    <mergeCell ref="A11:A15"/>
    <mergeCell ref="B11:C11"/>
    <mergeCell ref="D11:E11"/>
    <mergeCell ref="F11:G11"/>
    <mergeCell ref="H11:I11"/>
    <mergeCell ref="J11:K11"/>
    <mergeCell ref="L11:M11"/>
    <mergeCell ref="O19:Q19"/>
    <mergeCell ref="O11:Q11"/>
    <mergeCell ref="R11:U11"/>
    <mergeCell ref="X11:Z11"/>
    <mergeCell ref="AA11:AD11"/>
    <mergeCell ref="A24:A26"/>
    <mergeCell ref="B26:C26"/>
    <mergeCell ref="D26:E26"/>
    <mergeCell ref="F26:G26"/>
    <mergeCell ref="H26:I26"/>
    <mergeCell ref="J26:K26"/>
    <mergeCell ref="L26:M26"/>
    <mergeCell ref="R19:U19"/>
    <mergeCell ref="X19:Z19"/>
    <mergeCell ref="L10:M10"/>
    <mergeCell ref="L18:M18"/>
    <mergeCell ref="A19:A23"/>
    <mergeCell ref="B19:C19"/>
    <mergeCell ref="D19:E19"/>
    <mergeCell ref="F19:G19"/>
    <mergeCell ref="H19:I19"/>
    <mergeCell ref="J19:K19"/>
    <mergeCell ref="L19:M19"/>
    <mergeCell ref="A16:A18"/>
    <mergeCell ref="B18:C18"/>
    <mergeCell ref="D18:E18"/>
    <mergeCell ref="F18:G18"/>
    <mergeCell ref="H18:I18"/>
    <mergeCell ref="J18:K18"/>
    <mergeCell ref="A8:A10"/>
    <mergeCell ref="B10:C10"/>
    <mergeCell ref="D10:E10"/>
    <mergeCell ref="F10:G10"/>
    <mergeCell ref="H10:I10"/>
    <mergeCell ref="J10:K10"/>
    <mergeCell ref="O27:Q27"/>
    <mergeCell ref="R27:U27"/>
    <mergeCell ref="X27:Z27"/>
    <mergeCell ref="AA27:AD27"/>
    <mergeCell ref="A32:A34"/>
    <mergeCell ref="B34:C34"/>
    <mergeCell ref="D34:E34"/>
    <mergeCell ref="F34:G34"/>
    <mergeCell ref="H34:I34"/>
    <mergeCell ref="J34:K34"/>
    <mergeCell ref="A27:A31"/>
    <mergeCell ref="B27:C27"/>
    <mergeCell ref="D27:E27"/>
    <mergeCell ref="F27:G27"/>
    <mergeCell ref="H27:I27"/>
    <mergeCell ref="J27:K27"/>
    <mergeCell ref="L34:M34"/>
    <mergeCell ref="L27:M27"/>
    <mergeCell ref="A44:N44"/>
    <mergeCell ref="A45:N45"/>
    <mergeCell ref="A46:N46"/>
    <mergeCell ref="A47:N47"/>
    <mergeCell ref="O35:Q35"/>
    <mergeCell ref="R35:U35"/>
    <mergeCell ref="X35:Z35"/>
    <mergeCell ref="AA35:AD35"/>
    <mergeCell ref="A40:A42"/>
    <mergeCell ref="B42:C42"/>
    <mergeCell ref="D42:E42"/>
    <mergeCell ref="F42:G42"/>
    <mergeCell ref="H42:I42"/>
    <mergeCell ref="J42:K42"/>
    <mergeCell ref="A35:A39"/>
    <mergeCell ref="B35:C35"/>
    <mergeCell ref="D35:E35"/>
    <mergeCell ref="F35:G35"/>
    <mergeCell ref="H35:I35"/>
    <mergeCell ref="J35:K35"/>
    <mergeCell ref="L35:M35"/>
    <mergeCell ref="L42:M42"/>
    <mergeCell ref="A43:M43"/>
    <mergeCell ref="A48:M48"/>
    <mergeCell ref="O49:U49"/>
    <mergeCell ref="X49:AD49"/>
    <mergeCell ref="A50:A54"/>
    <mergeCell ref="B50:C50"/>
    <mergeCell ref="D50:E50"/>
    <mergeCell ref="F50:G50"/>
    <mergeCell ref="H50:I50"/>
    <mergeCell ref="J50:K50"/>
    <mergeCell ref="L50:M50"/>
    <mergeCell ref="X50:Z50"/>
    <mergeCell ref="AA50:AD50"/>
    <mergeCell ref="R66:U66"/>
    <mergeCell ref="X66:Z66"/>
    <mergeCell ref="AA66:AD66"/>
    <mergeCell ref="A58:A62"/>
    <mergeCell ref="B58:C58"/>
    <mergeCell ref="D58:E58"/>
    <mergeCell ref="F58:G58"/>
    <mergeCell ref="H58:I58"/>
    <mergeCell ref="L58:M58"/>
    <mergeCell ref="O66:Q66"/>
    <mergeCell ref="O58:Q58"/>
    <mergeCell ref="R58:U58"/>
    <mergeCell ref="X58:Z58"/>
    <mergeCell ref="AA58:AD58"/>
    <mergeCell ref="A71:A73"/>
    <mergeCell ref="B73:C73"/>
    <mergeCell ref="D73:E73"/>
    <mergeCell ref="F73:G73"/>
    <mergeCell ref="H73:I73"/>
    <mergeCell ref="J73:K73"/>
    <mergeCell ref="L73:M73"/>
    <mergeCell ref="J58:K58"/>
    <mergeCell ref="J65:K65"/>
    <mergeCell ref="L57:M57"/>
    <mergeCell ref="L65:M65"/>
    <mergeCell ref="A66:A70"/>
    <mergeCell ref="B66:C66"/>
    <mergeCell ref="D66:E66"/>
    <mergeCell ref="F66:G66"/>
    <mergeCell ref="H66:I66"/>
    <mergeCell ref="J66:K66"/>
    <mergeCell ref="L66:M66"/>
    <mergeCell ref="A63:A65"/>
    <mergeCell ref="B65:C65"/>
    <mergeCell ref="D65:E65"/>
    <mergeCell ref="F65:G65"/>
    <mergeCell ref="H65:I65"/>
    <mergeCell ref="A55:A57"/>
    <mergeCell ref="B57:C57"/>
    <mergeCell ref="D57:E57"/>
    <mergeCell ref="F57:G57"/>
    <mergeCell ref="H57:I57"/>
    <mergeCell ref="J57:K57"/>
    <mergeCell ref="O74:Q74"/>
    <mergeCell ref="R74:U74"/>
    <mergeCell ref="X74:Z74"/>
    <mergeCell ref="AA74:AD74"/>
    <mergeCell ref="A79:A81"/>
    <mergeCell ref="B81:C81"/>
    <mergeCell ref="D81:E81"/>
    <mergeCell ref="F81:G81"/>
    <mergeCell ref="H81:I81"/>
    <mergeCell ref="J81:K81"/>
    <mergeCell ref="A74:A78"/>
    <mergeCell ref="B74:C74"/>
    <mergeCell ref="D74:E74"/>
    <mergeCell ref="F74:G74"/>
    <mergeCell ref="H74:I74"/>
    <mergeCell ref="J74:K74"/>
    <mergeCell ref="L81:M81"/>
    <mergeCell ref="L74:M74"/>
    <mergeCell ref="A91:N91"/>
    <mergeCell ref="A92:N92"/>
    <mergeCell ref="A93:N93"/>
    <mergeCell ref="A94:N94"/>
    <mergeCell ref="O82:Q82"/>
    <mergeCell ref="R82:U82"/>
    <mergeCell ref="X82:Z82"/>
    <mergeCell ref="AA82:AD82"/>
    <mergeCell ref="A87:A89"/>
    <mergeCell ref="B89:C89"/>
    <mergeCell ref="D89:E89"/>
    <mergeCell ref="F89:G89"/>
    <mergeCell ref="H89:I89"/>
    <mergeCell ref="J89:K89"/>
    <mergeCell ref="A82:A86"/>
    <mergeCell ref="B82:C82"/>
    <mergeCell ref="D82:E82"/>
    <mergeCell ref="F82:G82"/>
    <mergeCell ref="H82:I82"/>
    <mergeCell ref="J82:K82"/>
    <mergeCell ref="L82:M82"/>
    <mergeCell ref="L89:M89"/>
    <mergeCell ref="A90:M90"/>
    <mergeCell ref="A95:M95"/>
    <mergeCell ref="O96:U96"/>
    <mergeCell ref="X96:AD96"/>
    <mergeCell ref="A97:A101"/>
    <mergeCell ref="B97:C97"/>
    <mergeCell ref="D97:E97"/>
    <mergeCell ref="F97:G97"/>
    <mergeCell ref="H97:I97"/>
    <mergeCell ref="J97:K97"/>
    <mergeCell ref="L97:M97"/>
    <mergeCell ref="X97:Z97"/>
    <mergeCell ref="AA97:AD97"/>
    <mergeCell ref="O105:Q105"/>
    <mergeCell ref="R105:U105"/>
    <mergeCell ref="X105:Z105"/>
    <mergeCell ref="AA105:AD105"/>
    <mergeCell ref="A102:A104"/>
    <mergeCell ref="B104:C104"/>
    <mergeCell ref="D104:E104"/>
    <mergeCell ref="F104:G104"/>
    <mergeCell ref="H104:I104"/>
    <mergeCell ref="J104:K104"/>
    <mergeCell ref="L104:M104"/>
    <mergeCell ref="A105:A109"/>
    <mergeCell ref="B105:C105"/>
    <mergeCell ref="D105:E105"/>
    <mergeCell ref="F105:G105"/>
    <mergeCell ref="H105:I105"/>
    <mergeCell ref="J105:K105"/>
    <mergeCell ref="L105:M105"/>
    <mergeCell ref="L112:M112"/>
    <mergeCell ref="A113:A117"/>
    <mergeCell ref="B113:C113"/>
    <mergeCell ref="D113:E113"/>
    <mergeCell ref="F113:G113"/>
    <mergeCell ref="H113:I113"/>
    <mergeCell ref="J113:K113"/>
    <mergeCell ref="L113:M113"/>
    <mergeCell ref="A110:A112"/>
    <mergeCell ref="B112:C112"/>
    <mergeCell ref="D112:E112"/>
    <mergeCell ref="F112:G112"/>
    <mergeCell ref="H112:I112"/>
    <mergeCell ref="J112:K112"/>
    <mergeCell ref="X121:Z121"/>
    <mergeCell ref="AA113:AD113"/>
    <mergeCell ref="A118:A120"/>
    <mergeCell ref="B120:C120"/>
    <mergeCell ref="D120:E120"/>
    <mergeCell ref="F120:G120"/>
    <mergeCell ref="H120:I120"/>
    <mergeCell ref="J120:K120"/>
    <mergeCell ref="L120:M120"/>
    <mergeCell ref="O113:Q113"/>
    <mergeCell ref="R113:U113"/>
    <mergeCell ref="X113:Z113"/>
    <mergeCell ref="AA121:AD121"/>
    <mergeCell ref="O121:Q121"/>
    <mergeCell ref="A121:A125"/>
    <mergeCell ref="B121:C121"/>
    <mergeCell ref="D121:E121"/>
    <mergeCell ref="F121:G121"/>
    <mergeCell ref="H121:I121"/>
    <mergeCell ref="J121:K121"/>
    <mergeCell ref="L121:M121"/>
    <mergeCell ref="R121:U121"/>
    <mergeCell ref="A126:A128"/>
    <mergeCell ref="B128:C128"/>
    <mergeCell ref="D128:E128"/>
    <mergeCell ref="F128:G128"/>
    <mergeCell ref="H128:I128"/>
    <mergeCell ref="J128:K128"/>
    <mergeCell ref="L128:M128"/>
    <mergeCell ref="A129:A133"/>
    <mergeCell ref="B129:C129"/>
    <mergeCell ref="D129:E129"/>
    <mergeCell ref="F129:G129"/>
    <mergeCell ref="H129:I129"/>
    <mergeCell ref="J129:K129"/>
    <mergeCell ref="L129:M129"/>
    <mergeCell ref="L136:M136"/>
    <mergeCell ref="A137:M137"/>
    <mergeCell ref="A138:N138"/>
    <mergeCell ref="A139:N139"/>
    <mergeCell ref="A140:N140"/>
    <mergeCell ref="O129:Q129"/>
    <mergeCell ref="R129:U129"/>
    <mergeCell ref="X129:Z129"/>
    <mergeCell ref="AA129:AD129"/>
    <mergeCell ref="A134:A136"/>
    <mergeCell ref="B136:C136"/>
    <mergeCell ref="D136:E136"/>
    <mergeCell ref="F136:G136"/>
    <mergeCell ref="H136:I136"/>
    <mergeCell ref="J136:K136"/>
    <mergeCell ref="A141:N141"/>
    <mergeCell ref="A142:M142"/>
    <mergeCell ref="O143:U143"/>
    <mergeCell ref="X143:AD143"/>
    <mergeCell ref="A144:A148"/>
    <mergeCell ref="B144:C144"/>
    <mergeCell ref="D144:E144"/>
    <mergeCell ref="F144:G144"/>
    <mergeCell ref="H144:I144"/>
    <mergeCell ref="L144:M144"/>
    <mergeCell ref="X144:Z144"/>
    <mergeCell ref="AA144:AD144"/>
    <mergeCell ref="J144:K144"/>
    <mergeCell ref="L152:M152"/>
    <mergeCell ref="O152:Q152"/>
    <mergeCell ref="R152:U152"/>
    <mergeCell ref="X152:Z152"/>
    <mergeCell ref="AA152:AD152"/>
    <mergeCell ref="A149:A151"/>
    <mergeCell ref="B151:C151"/>
    <mergeCell ref="D151:E151"/>
    <mergeCell ref="F151:G151"/>
    <mergeCell ref="H151:I151"/>
    <mergeCell ref="L151:M151"/>
    <mergeCell ref="J151:K151"/>
    <mergeCell ref="A152:A156"/>
    <mergeCell ref="B152:C152"/>
    <mergeCell ref="D152:E152"/>
    <mergeCell ref="F152:G152"/>
    <mergeCell ref="H152:I152"/>
    <mergeCell ref="J152:K152"/>
    <mergeCell ref="J159:K159"/>
    <mergeCell ref="R160:U160"/>
    <mergeCell ref="X160:Z160"/>
    <mergeCell ref="AA160:AD160"/>
    <mergeCell ref="A160:A164"/>
    <mergeCell ref="B160:C160"/>
    <mergeCell ref="D160:E160"/>
    <mergeCell ref="F160:G160"/>
    <mergeCell ref="H160:I160"/>
    <mergeCell ref="J160:K160"/>
    <mergeCell ref="L159:M159"/>
    <mergeCell ref="A157:A159"/>
    <mergeCell ref="B159:C159"/>
    <mergeCell ref="D159:E159"/>
    <mergeCell ref="F159:G159"/>
    <mergeCell ref="H159:I159"/>
    <mergeCell ref="A165:A167"/>
    <mergeCell ref="B167:C167"/>
    <mergeCell ref="D167:E167"/>
    <mergeCell ref="F167:G167"/>
    <mergeCell ref="H167:I167"/>
    <mergeCell ref="J167:K167"/>
    <mergeCell ref="L167:M167"/>
    <mergeCell ref="L160:M160"/>
    <mergeCell ref="O160:Q160"/>
    <mergeCell ref="R168:U168"/>
    <mergeCell ref="X168:Z168"/>
    <mergeCell ref="AA168:AD168"/>
    <mergeCell ref="A168:A172"/>
    <mergeCell ref="B168:C168"/>
    <mergeCell ref="D168:E168"/>
    <mergeCell ref="F168:G168"/>
    <mergeCell ref="H168:I168"/>
    <mergeCell ref="J168:K168"/>
    <mergeCell ref="A173:A175"/>
    <mergeCell ref="B175:C175"/>
    <mergeCell ref="D175:E175"/>
    <mergeCell ref="F175:G175"/>
    <mergeCell ref="H175:I175"/>
    <mergeCell ref="J175:K175"/>
    <mergeCell ref="L175:M175"/>
    <mergeCell ref="L168:M168"/>
    <mergeCell ref="O168:Q168"/>
    <mergeCell ref="L176:M176"/>
    <mergeCell ref="O176:Q176"/>
    <mergeCell ref="R176:U176"/>
    <mergeCell ref="X176:Z176"/>
    <mergeCell ref="AA176:AD176"/>
    <mergeCell ref="A176:A180"/>
    <mergeCell ref="B176:C176"/>
    <mergeCell ref="D176:E176"/>
    <mergeCell ref="F176:G176"/>
    <mergeCell ref="H176:I176"/>
    <mergeCell ref="J176:K176"/>
    <mergeCell ref="A184:M184"/>
    <mergeCell ref="A185:N185"/>
    <mergeCell ref="A186:N186"/>
    <mergeCell ref="A187:N187"/>
    <mergeCell ref="A188:N188"/>
    <mergeCell ref="A189:M189"/>
    <mergeCell ref="A181:A183"/>
    <mergeCell ref="B183:C183"/>
    <mergeCell ref="D183:E183"/>
    <mergeCell ref="F183:G183"/>
    <mergeCell ref="H183:I183"/>
    <mergeCell ref="J183:K183"/>
    <mergeCell ref="L183:M183"/>
    <mergeCell ref="A196:A198"/>
    <mergeCell ref="B198:C198"/>
    <mergeCell ref="D198:E198"/>
    <mergeCell ref="F198:G198"/>
    <mergeCell ref="H198:I198"/>
    <mergeCell ref="J198:K198"/>
    <mergeCell ref="L198:M198"/>
    <mergeCell ref="O190:U190"/>
    <mergeCell ref="X190:AD190"/>
    <mergeCell ref="A191:A195"/>
    <mergeCell ref="B191:C191"/>
    <mergeCell ref="D191:E191"/>
    <mergeCell ref="F191:G191"/>
    <mergeCell ref="H191:I191"/>
    <mergeCell ref="J191:K191"/>
    <mergeCell ref="L191:M191"/>
    <mergeCell ref="X191:Z191"/>
    <mergeCell ref="AA191:AD191"/>
    <mergeCell ref="L214:M214"/>
    <mergeCell ref="L207:M207"/>
    <mergeCell ref="O207:Q207"/>
    <mergeCell ref="R207:U207"/>
    <mergeCell ref="X207:Z207"/>
    <mergeCell ref="AA207:AD207"/>
    <mergeCell ref="X199:Z199"/>
    <mergeCell ref="AA199:AD199"/>
    <mergeCell ref="A204:A206"/>
    <mergeCell ref="B206:C206"/>
    <mergeCell ref="D206:E206"/>
    <mergeCell ref="F206:G206"/>
    <mergeCell ref="H206:I206"/>
    <mergeCell ref="J206:K206"/>
    <mergeCell ref="L206:M206"/>
    <mergeCell ref="A199:A203"/>
    <mergeCell ref="B199:C199"/>
    <mergeCell ref="D199:E199"/>
    <mergeCell ref="F199:G199"/>
    <mergeCell ref="H199:I199"/>
    <mergeCell ref="J199:K199"/>
    <mergeCell ref="L199:M199"/>
    <mergeCell ref="O199:Q199"/>
    <mergeCell ref="R199:U199"/>
    <mergeCell ref="A207:A211"/>
    <mergeCell ref="B207:C207"/>
    <mergeCell ref="D207:E207"/>
    <mergeCell ref="F207:G207"/>
    <mergeCell ref="H207:I207"/>
    <mergeCell ref="J207:K207"/>
    <mergeCell ref="A212:A214"/>
    <mergeCell ref="B214:C214"/>
    <mergeCell ref="D214:E214"/>
    <mergeCell ref="F214:G214"/>
    <mergeCell ref="H214:I214"/>
    <mergeCell ref="J214:K214"/>
    <mergeCell ref="R215:U215"/>
    <mergeCell ref="X215:Z215"/>
    <mergeCell ref="AA215:AD215"/>
    <mergeCell ref="A215:A219"/>
    <mergeCell ref="B215:C215"/>
    <mergeCell ref="D215:E215"/>
    <mergeCell ref="F215:G215"/>
    <mergeCell ref="H215:I215"/>
    <mergeCell ref="J215:K215"/>
    <mergeCell ref="A220:A222"/>
    <mergeCell ref="B222:C222"/>
    <mergeCell ref="D222:E222"/>
    <mergeCell ref="F222:G222"/>
    <mergeCell ref="H222:I222"/>
    <mergeCell ref="J222:K222"/>
    <mergeCell ref="L222:M222"/>
    <mergeCell ref="L215:M215"/>
    <mergeCell ref="O215:Q215"/>
    <mergeCell ref="L223:M223"/>
    <mergeCell ref="O223:Q223"/>
    <mergeCell ref="R223:U223"/>
    <mergeCell ref="X223:Z223"/>
    <mergeCell ref="AA223:AD223"/>
    <mergeCell ref="A223:A227"/>
    <mergeCell ref="B223:C223"/>
    <mergeCell ref="D223:E223"/>
    <mergeCell ref="F223:G223"/>
    <mergeCell ref="H223:I223"/>
    <mergeCell ref="J223:K223"/>
    <mergeCell ref="A235:N235"/>
    <mergeCell ref="L230:M230"/>
    <mergeCell ref="A231:M231"/>
    <mergeCell ref="A232:N232"/>
    <mergeCell ref="A233:N233"/>
    <mergeCell ref="A234:N234"/>
    <mergeCell ref="A228:A230"/>
    <mergeCell ref="B230:C230"/>
    <mergeCell ref="D230:E230"/>
    <mergeCell ref="F230:G230"/>
    <mergeCell ref="H230:I230"/>
    <mergeCell ref="J230:K230"/>
  </mergeCells>
  <phoneticPr fontId="3" type="noConversion"/>
  <printOptions horizontalCentered="1"/>
  <pageMargins left="0" right="0" top="0.15748031496062992" bottom="0.15748031496062992" header="0.43307086614173229" footer="0.15748031496062992"/>
  <pageSetup paperSize="9" scale="105" orientation="portrait" r:id="rId1"/>
  <headerFooter alignWithMargins="0"/>
  <rowBreaks count="4" manualBreakCount="4">
    <brk id="47" max="16383" man="1"/>
    <brk id="94" max="16383" man="1"/>
    <brk id="141" max="22" man="1"/>
    <brk id="18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4月晚餐菜單(貝佳)</vt:lpstr>
      <vt:lpstr>4月明細(晚餐)</vt:lpstr>
      <vt:lpstr>'4月明細(晚餐)'!Print_Area</vt:lpstr>
      <vt:lpstr>'4月晚餐菜單(貝佳)'!Print_Area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tcuser</cp:lastModifiedBy>
  <cp:lastPrinted>2020-03-16T04:35:24Z</cp:lastPrinted>
  <dcterms:created xsi:type="dcterms:W3CDTF">2020-03-09T01:47:53Z</dcterms:created>
  <dcterms:modified xsi:type="dcterms:W3CDTF">2020-03-29T23:56:36Z</dcterms:modified>
</cp:coreProperties>
</file>