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3040" windowHeight="9300"/>
  </bookViews>
  <sheets>
    <sheet name="7月菜單(貝佳) (國高中)蔬食" sheetId="1" r:id="rId1"/>
    <sheet name="7月明細(午餐)" sheetId="2" r:id="rId2"/>
  </sheets>
  <definedNames>
    <definedName name="_xlnm.Print_Area" localSheetId="1">'7月明細(午餐)'!$A$1:$W$141</definedName>
    <definedName name="_xlnm.Print_Area" localSheetId="0">'7月菜單(貝佳) (國高中)蔬食'!$A$1:$K$29</definedName>
  </definedNames>
  <calcPr calcId="145621"/>
</workbook>
</file>

<file path=xl/calcChain.xml><?xml version="1.0" encoding="utf-8"?>
<calcChain xmlns="http://schemas.openxmlformats.org/spreadsheetml/2006/main">
  <c r="Y107" i="2" l="1"/>
  <c r="Y108" i="2" l="1"/>
  <c r="Y106" i="2"/>
  <c r="Y100" i="2"/>
  <c r="Y99" i="2"/>
  <c r="Y98" i="2"/>
  <c r="Y84" i="2" l="1"/>
  <c r="Y85" i="2"/>
  <c r="Y83" i="2"/>
  <c r="Y77" i="2"/>
  <c r="Y76" i="2"/>
  <c r="Y75" i="2"/>
  <c r="Y69" i="2"/>
  <c r="Y68" i="2"/>
  <c r="Y67" i="2"/>
  <c r="Y21" i="2"/>
  <c r="Y20" i="2"/>
  <c r="Y61" i="2"/>
  <c r="Y60" i="2"/>
  <c r="Y59" i="2"/>
  <c r="Y53" i="2"/>
  <c r="Y52" i="2"/>
  <c r="Y51" i="2"/>
  <c r="Y38" i="2"/>
  <c r="Y37" i="2"/>
  <c r="Y36" i="2"/>
  <c r="Y30" i="2"/>
  <c r="Y29" i="2"/>
  <c r="Y28" i="2"/>
  <c r="Y22" i="2" l="1"/>
  <c r="Y132" i="2" l="1"/>
  <c r="P132" i="2"/>
  <c r="Y131" i="2"/>
  <c r="AB132" i="2" s="1"/>
  <c r="W132" i="2" s="1"/>
  <c r="P131" i="2"/>
  <c r="S132" i="2" s="1"/>
  <c r="N132" i="2" s="1"/>
  <c r="Y130" i="2"/>
  <c r="P130" i="2"/>
  <c r="P136" i="2" s="1"/>
  <c r="S130" i="2" s="1"/>
  <c r="Y124" i="2"/>
  <c r="P124" i="2"/>
  <c r="Y123" i="2"/>
  <c r="AB124" i="2" s="1"/>
  <c r="W124" i="2" s="1"/>
  <c r="P123" i="2"/>
  <c r="S124" i="2" s="1"/>
  <c r="N124" i="2" s="1"/>
  <c r="Y122" i="2"/>
  <c r="AB125" i="2" s="1"/>
  <c r="W126" i="2" s="1"/>
  <c r="P122" i="2"/>
  <c r="S123" i="2" s="1"/>
  <c r="Y116" i="2"/>
  <c r="P116" i="2"/>
  <c r="Y115" i="2"/>
  <c r="AB116" i="2" s="1"/>
  <c r="W116" i="2" s="1"/>
  <c r="P115" i="2"/>
  <c r="S116" i="2" s="1"/>
  <c r="N116" i="2" s="1"/>
  <c r="Y114" i="2"/>
  <c r="P114" i="2"/>
  <c r="S117" i="2" s="1"/>
  <c r="N118" i="2" s="1"/>
  <c r="AB107" i="2"/>
  <c r="W106" i="2" s="1"/>
  <c r="P108" i="2"/>
  <c r="P107" i="2"/>
  <c r="S108" i="2" s="1"/>
  <c r="N108" i="2" s="1"/>
  <c r="P106" i="2"/>
  <c r="AB100" i="2"/>
  <c r="P99" i="2"/>
  <c r="P98" i="2"/>
  <c r="S99" i="2" s="1"/>
  <c r="P97" i="2"/>
  <c r="Y89" i="2"/>
  <c r="W89" i="2" s="1"/>
  <c r="J19" i="1" s="1"/>
  <c r="P85" i="2"/>
  <c r="AB85" i="2"/>
  <c r="W85" i="2" s="1"/>
  <c r="P84" i="2"/>
  <c r="S85" i="2" s="1"/>
  <c r="N85" i="2" s="1"/>
  <c r="AB86" i="2"/>
  <c r="W87" i="2" s="1"/>
  <c r="P83" i="2"/>
  <c r="S84" i="2" s="1"/>
  <c r="AB77" i="2"/>
  <c r="P77" i="2"/>
  <c r="P76" i="2"/>
  <c r="Y81" i="2"/>
  <c r="AB75" i="2" s="1"/>
  <c r="P75" i="2"/>
  <c r="P69" i="2"/>
  <c r="P68" i="2"/>
  <c r="S69" i="2" s="1"/>
  <c r="N69" i="2" s="1"/>
  <c r="P67" i="2"/>
  <c r="AB62" i="2"/>
  <c r="AB61" i="2"/>
  <c r="W61" i="2" s="1"/>
  <c r="P61" i="2"/>
  <c r="AB60" i="2"/>
  <c r="P60" i="2"/>
  <c r="Y65" i="2"/>
  <c r="AB59" i="2" s="1"/>
  <c r="P59" i="2"/>
  <c r="S60" i="2" s="1"/>
  <c r="N59" i="2" s="1"/>
  <c r="A58" i="2"/>
  <c r="A66" i="2" s="1"/>
  <c r="A74" i="2" s="1"/>
  <c r="A82" i="2" s="1"/>
  <c r="A97" i="2" s="1"/>
  <c r="A105" i="2" s="1"/>
  <c r="A113" i="2" s="1"/>
  <c r="A121" i="2" s="1"/>
  <c r="A129" i="2" s="1"/>
  <c r="P56" i="2"/>
  <c r="N57" i="2" s="1"/>
  <c r="Y57" i="2"/>
  <c r="W57" i="2" s="1"/>
  <c r="B19" i="1" s="1"/>
  <c r="S53" i="2"/>
  <c r="N55" i="2" s="1"/>
  <c r="AB53" i="2"/>
  <c r="W53" i="2" s="1"/>
  <c r="S52" i="2"/>
  <c r="N53" i="2" s="1"/>
  <c r="S51" i="2"/>
  <c r="AB38" i="2"/>
  <c r="W38" i="2" s="1"/>
  <c r="AB39" i="2"/>
  <c r="P38" i="2"/>
  <c r="P37" i="2"/>
  <c r="S38" i="2" s="1"/>
  <c r="P36" i="2"/>
  <c r="AB31" i="2"/>
  <c r="P30" i="2"/>
  <c r="AB30" i="2"/>
  <c r="P29" i="2"/>
  <c r="P28" i="2"/>
  <c r="P22" i="2"/>
  <c r="AB22" i="2"/>
  <c r="W22" i="2" s="1"/>
  <c r="P21" i="2"/>
  <c r="S22" i="2" s="1"/>
  <c r="N22" i="2" s="1"/>
  <c r="P20" i="2"/>
  <c r="Y14" i="2"/>
  <c r="P14" i="2"/>
  <c r="Y13" i="2"/>
  <c r="P13" i="2"/>
  <c r="S14" i="2" s="1"/>
  <c r="Y12" i="2"/>
  <c r="P12" i="2"/>
  <c r="A11" i="2"/>
  <c r="A19" i="2" s="1"/>
  <c r="A27" i="2" s="1"/>
  <c r="A35" i="2" s="1"/>
  <c r="Y6" i="2"/>
  <c r="Y5" i="2"/>
  <c r="AB6" i="2" s="1"/>
  <c r="P5" i="2"/>
  <c r="Y4" i="2"/>
  <c r="Y10" i="2" s="1"/>
  <c r="AB4" i="2" s="1"/>
  <c r="P4" i="2"/>
  <c r="S5" i="2" s="1"/>
  <c r="P3" i="2"/>
  <c r="D2" i="1"/>
  <c r="F2" i="1" s="1"/>
  <c r="H2" i="1" s="1"/>
  <c r="J2" i="1" s="1"/>
  <c r="B11" i="1" s="1"/>
  <c r="D11" i="1" s="1"/>
  <c r="F11" i="1" s="1"/>
  <c r="H11" i="1" s="1"/>
  <c r="J11" i="1" s="1"/>
  <c r="B20" i="1" s="1"/>
  <c r="D20" i="1" s="1"/>
  <c r="F20" i="1" s="1"/>
  <c r="H20" i="1" s="1"/>
  <c r="J20" i="1" s="1"/>
  <c r="S98" i="2" l="1"/>
  <c r="N98" i="2" s="1"/>
  <c r="P9" i="2"/>
  <c r="S50" i="2"/>
  <c r="U52" i="2" s="1"/>
  <c r="Y120" i="2"/>
  <c r="AB114" i="2" s="1"/>
  <c r="AD116" i="2" s="1"/>
  <c r="Y128" i="2"/>
  <c r="W128" i="2" s="1"/>
  <c r="S133" i="2"/>
  <c r="N134" i="2" s="1"/>
  <c r="U53" i="2"/>
  <c r="Y136" i="2"/>
  <c r="AB130" i="2" s="1"/>
  <c r="AD132" i="2" s="1"/>
  <c r="S125" i="2"/>
  <c r="N126" i="2" s="1"/>
  <c r="S131" i="2"/>
  <c r="N130" i="2" s="1"/>
  <c r="N136" i="2"/>
  <c r="S109" i="2"/>
  <c r="N110" i="2" s="1"/>
  <c r="P103" i="2"/>
  <c r="S97" i="2" s="1"/>
  <c r="Y104" i="2"/>
  <c r="AB98" i="2" s="1"/>
  <c r="AD100" i="2" s="1"/>
  <c r="S100" i="2"/>
  <c r="N102" i="2" s="1"/>
  <c r="S86" i="2"/>
  <c r="N87" i="2" s="1"/>
  <c r="AB83" i="2"/>
  <c r="AD85" i="2" s="1"/>
  <c r="S78" i="2"/>
  <c r="N79" i="2" s="1"/>
  <c r="AD77" i="2"/>
  <c r="AB68" i="2"/>
  <c r="W67" i="2" s="1"/>
  <c r="S70" i="2"/>
  <c r="N71" i="2" s="1"/>
  <c r="Y73" i="2"/>
  <c r="AB67" i="2" s="1"/>
  <c r="S62" i="2"/>
  <c r="N63" i="2" s="1"/>
  <c r="AD62" i="2"/>
  <c r="AD61" i="2"/>
  <c r="W65" i="2"/>
  <c r="D19" i="1" s="1"/>
  <c r="AB52" i="2"/>
  <c r="W51" i="2" s="1"/>
  <c r="AB54" i="2"/>
  <c r="W55" i="2" s="1"/>
  <c r="AB37" i="2"/>
  <c r="W36" i="2" s="1"/>
  <c r="S39" i="2"/>
  <c r="N40" i="2" s="1"/>
  <c r="S21" i="2"/>
  <c r="N20" i="2" s="1"/>
  <c r="S29" i="2"/>
  <c r="N28" i="2" s="1"/>
  <c r="S23" i="2"/>
  <c r="N24" i="2" s="1"/>
  <c r="AD6" i="2"/>
  <c r="AB13" i="2"/>
  <c r="W12" i="2" s="1"/>
  <c r="AB15" i="2"/>
  <c r="AB14" i="2"/>
  <c r="Y18" i="2"/>
  <c r="Y26" i="2"/>
  <c r="AB23" i="2"/>
  <c r="AB21" i="2"/>
  <c r="W73" i="2"/>
  <c r="F19" i="1" s="1"/>
  <c r="N10" i="2"/>
  <c r="S3" i="2"/>
  <c r="U5" i="2" s="1"/>
  <c r="W6" i="2"/>
  <c r="W10" i="2"/>
  <c r="N38" i="2"/>
  <c r="S15" i="2"/>
  <c r="S13" i="2"/>
  <c r="P18" i="2"/>
  <c r="W30" i="2"/>
  <c r="N6" i="2"/>
  <c r="N14" i="2"/>
  <c r="P34" i="2"/>
  <c r="S30" i="2"/>
  <c r="W32" i="2"/>
  <c r="W40" i="2"/>
  <c r="W100" i="2"/>
  <c r="S4" i="2"/>
  <c r="S6" i="2"/>
  <c r="W63" i="2"/>
  <c r="P73" i="2"/>
  <c r="S77" i="2"/>
  <c r="N83" i="2"/>
  <c r="AB109" i="2"/>
  <c r="AB108" i="2"/>
  <c r="AB122" i="2"/>
  <c r="AB5" i="2"/>
  <c r="S31" i="2"/>
  <c r="AB29" i="2"/>
  <c r="Y34" i="2"/>
  <c r="Y42" i="2"/>
  <c r="AB51" i="2"/>
  <c r="AD53" i="2" s="1"/>
  <c r="S61" i="2"/>
  <c r="S68" i="2"/>
  <c r="AB76" i="2"/>
  <c r="W77" i="2"/>
  <c r="AB78" i="2"/>
  <c r="W81" i="2"/>
  <c r="H19" i="1" s="1"/>
  <c r="N100" i="2"/>
  <c r="P120" i="2"/>
  <c r="P128" i="2"/>
  <c r="N51" i="2"/>
  <c r="U51" i="2"/>
  <c r="U54" i="2" s="1"/>
  <c r="AD60" i="2"/>
  <c r="W59" i="2"/>
  <c r="AB70" i="2"/>
  <c r="AB69" i="2"/>
  <c r="P112" i="2"/>
  <c r="N122" i="2"/>
  <c r="U132" i="2"/>
  <c r="U133" i="2"/>
  <c r="AB7" i="2"/>
  <c r="P26" i="2"/>
  <c r="P42" i="2"/>
  <c r="S37" i="2"/>
  <c r="P65" i="2"/>
  <c r="P81" i="2"/>
  <c r="P89" i="2"/>
  <c r="S107" i="2"/>
  <c r="Y112" i="2"/>
  <c r="AB115" i="2"/>
  <c r="AB117" i="2"/>
  <c r="AB131" i="2"/>
  <c r="AB133" i="2"/>
  <c r="S76" i="2"/>
  <c r="AB84" i="2"/>
  <c r="AB99" i="2"/>
  <c r="S115" i="2"/>
  <c r="AB123" i="2"/>
  <c r="AB101" i="2"/>
  <c r="U98" i="2" l="1"/>
  <c r="W136" i="2"/>
  <c r="U131" i="2"/>
  <c r="U134" i="2" s="1"/>
  <c r="W120" i="2"/>
  <c r="N104" i="2"/>
  <c r="W104" i="2"/>
  <c r="B28" i="1" s="1"/>
  <c r="AD86" i="2"/>
  <c r="AD68" i="2"/>
  <c r="AD63" i="2"/>
  <c r="AD54" i="2"/>
  <c r="AD52" i="2"/>
  <c r="AD133" i="2"/>
  <c r="W134" i="2"/>
  <c r="N81" i="2"/>
  <c r="S75" i="2"/>
  <c r="U78" i="2" s="1"/>
  <c r="N26" i="2"/>
  <c r="S20" i="2"/>
  <c r="U99" i="2"/>
  <c r="AD5" i="2"/>
  <c r="W4" i="2"/>
  <c r="N8" i="2"/>
  <c r="U6" i="2"/>
  <c r="N12" i="2"/>
  <c r="W14" i="2"/>
  <c r="AD84" i="2"/>
  <c r="W83" i="2"/>
  <c r="W112" i="2"/>
  <c r="D28" i="1" s="1"/>
  <c r="AB106" i="2"/>
  <c r="AD107" i="2" s="1"/>
  <c r="N42" i="2"/>
  <c r="S36" i="2"/>
  <c r="U37" i="2" s="1"/>
  <c r="U40" i="2" s="1"/>
  <c r="AD76" i="2"/>
  <c r="W75" i="2"/>
  <c r="AB28" i="2"/>
  <c r="AD29" i="2" s="1"/>
  <c r="W34" i="2"/>
  <c r="H10" i="1" s="1"/>
  <c r="U100" i="2"/>
  <c r="U4" i="2"/>
  <c r="N4" i="2"/>
  <c r="N34" i="2"/>
  <c r="S28" i="2"/>
  <c r="U29" i="2" s="1"/>
  <c r="U32" i="2" s="1"/>
  <c r="N16" i="2"/>
  <c r="W122" i="2"/>
  <c r="AD123" i="2"/>
  <c r="N75" i="2"/>
  <c r="N89" i="2"/>
  <c r="S83" i="2"/>
  <c r="W69" i="2"/>
  <c r="AD69" i="2"/>
  <c r="N120" i="2"/>
  <c r="S114" i="2"/>
  <c r="W28" i="2"/>
  <c r="W108" i="2"/>
  <c r="AB20" i="2"/>
  <c r="AD22" i="2" s="1"/>
  <c r="W26" i="2"/>
  <c r="F10" i="1" s="1"/>
  <c r="N114" i="2"/>
  <c r="AD117" i="2"/>
  <c r="W118" i="2"/>
  <c r="N106" i="2"/>
  <c r="W71" i="2"/>
  <c r="AD70" i="2"/>
  <c r="N128" i="2"/>
  <c r="S122" i="2"/>
  <c r="AD78" i="2"/>
  <c r="W79" i="2"/>
  <c r="N67" i="2"/>
  <c r="N32" i="2"/>
  <c r="W110" i="2"/>
  <c r="N77" i="2"/>
  <c r="W18" i="2"/>
  <c r="AB12" i="2"/>
  <c r="AD13" i="2" s="1"/>
  <c r="AD99" i="2"/>
  <c r="W98" i="2"/>
  <c r="AD115" i="2"/>
  <c r="AD118" i="2" s="1"/>
  <c r="W114" i="2"/>
  <c r="N36" i="2"/>
  <c r="S106" i="2"/>
  <c r="N112" i="2"/>
  <c r="AB36" i="2"/>
  <c r="W42" i="2"/>
  <c r="J10" i="1" s="1"/>
  <c r="S67" i="2"/>
  <c r="N73" i="2"/>
  <c r="N30" i="2"/>
  <c r="W20" i="2"/>
  <c r="W102" i="2"/>
  <c r="AD101" i="2"/>
  <c r="AD131" i="2"/>
  <c r="W130" i="2"/>
  <c r="N65" i="2"/>
  <c r="S59" i="2"/>
  <c r="AD7" i="2"/>
  <c r="W8" i="2"/>
  <c r="N61" i="2"/>
  <c r="AD125" i="2"/>
  <c r="AD124" i="2"/>
  <c r="S12" i="2"/>
  <c r="U14" i="2" s="1"/>
  <c r="N18" i="2"/>
  <c r="W24" i="2"/>
  <c r="W16" i="2"/>
  <c r="AD15" i="2"/>
  <c r="AD23" i="2" l="1"/>
  <c r="AD21" i="2"/>
  <c r="AD134" i="2"/>
  <c r="AD109" i="2"/>
  <c r="AD108" i="2"/>
  <c r="AD8" i="2"/>
  <c r="U7" i="2"/>
  <c r="U101" i="2"/>
  <c r="AD87" i="2"/>
  <c r="AD79" i="2"/>
  <c r="AD71" i="2"/>
  <c r="AD55" i="2"/>
  <c r="U30" i="2"/>
  <c r="U13" i="2"/>
  <c r="U16" i="2" s="1"/>
  <c r="U31" i="2"/>
  <c r="U15" i="2"/>
  <c r="U60" i="2"/>
  <c r="U62" i="2"/>
  <c r="U124" i="2"/>
  <c r="U125" i="2"/>
  <c r="U123" i="2"/>
  <c r="U116" i="2"/>
  <c r="U117" i="2"/>
  <c r="U85" i="2"/>
  <c r="U86" i="2"/>
  <c r="U84" i="2"/>
  <c r="U87" i="2" s="1"/>
  <c r="AD126" i="2"/>
  <c r="U21" i="2"/>
  <c r="U24" i="2" s="1"/>
  <c r="U22" i="2"/>
  <c r="U23" i="2"/>
  <c r="U70" i="2"/>
  <c r="U69" i="2"/>
  <c r="U109" i="2"/>
  <c r="U108" i="2"/>
  <c r="U68" i="2"/>
  <c r="U71" i="2" s="1"/>
  <c r="U107" i="2"/>
  <c r="U110" i="2" s="1"/>
  <c r="U115" i="2"/>
  <c r="U118" i="2" s="1"/>
  <c r="U39" i="2"/>
  <c r="U38" i="2"/>
  <c r="AD31" i="2"/>
  <c r="AD30" i="2"/>
  <c r="U61" i="2"/>
  <c r="AD39" i="2"/>
  <c r="AD38" i="2"/>
  <c r="AD37" i="2"/>
  <c r="AD102" i="2"/>
  <c r="U77" i="2"/>
  <c r="U76" i="2"/>
  <c r="U79" i="2" s="1"/>
  <c r="AD14" i="2"/>
  <c r="AD16" i="2" s="1"/>
  <c r="AD110" i="2" l="1"/>
  <c r="AD24" i="2"/>
  <c r="AD40" i="2"/>
  <c r="AD32" i="2"/>
  <c r="U63" i="2"/>
  <c r="U126" i="2"/>
</calcChain>
</file>

<file path=xl/sharedStrings.xml><?xml version="1.0" encoding="utf-8"?>
<sst xmlns="http://schemas.openxmlformats.org/spreadsheetml/2006/main" count="1317" uniqueCount="304">
  <si>
    <t>第19週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</si>
  <si>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</si>
  <si>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</si>
  <si>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</si>
  <si>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</si>
  <si>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</si>
  <si>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香滷油腐</t>
  </si>
  <si>
    <t>豆腐味噌湯</t>
  </si>
  <si>
    <t>熱量(kcal)</t>
    <phoneticPr fontId="3" type="noConversion"/>
  </si>
  <si>
    <t>第20週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</si>
  <si>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</si>
  <si>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</si>
  <si>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</si>
  <si>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</si>
  <si>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</si>
  <si>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玉米肉末</t>
    <phoneticPr fontId="3" type="noConversion"/>
  </si>
  <si>
    <t>泰式打拋肉</t>
    <phoneticPr fontId="3" type="noConversion"/>
  </si>
  <si>
    <t>綜合滷味</t>
    <phoneticPr fontId="3" type="noConversion"/>
  </si>
  <si>
    <t>雙花炒魷魚</t>
    <phoneticPr fontId="3" type="noConversion"/>
  </si>
  <si>
    <t>味噌高麗肉片</t>
    <phoneticPr fontId="3" type="noConversion"/>
  </si>
  <si>
    <t>枸杞冬瓜湯</t>
    <phoneticPr fontId="3" type="noConversion"/>
  </si>
  <si>
    <t>薑絲紫菜湯</t>
    <phoneticPr fontId="3" type="noConversion"/>
  </si>
  <si>
    <t>雙菇雪花湯</t>
    <phoneticPr fontId="3" type="noConversion"/>
  </si>
  <si>
    <t>黃瓜排骨湯</t>
    <phoneticPr fontId="3" type="noConversion"/>
  </si>
  <si>
    <t>熱量(kcal)</t>
    <phoneticPr fontId="3" type="noConversion"/>
  </si>
  <si>
    <t>第21週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</si>
  <si>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</si>
  <si>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</si>
  <si>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</si>
  <si>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</si>
  <si>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藥膳鮮蔬湯</t>
    <phoneticPr fontId="3" type="noConversion"/>
  </si>
  <si>
    <t>有任何問題，請找貝佳服務人員</t>
    <phoneticPr fontId="3" type="noConversion"/>
  </si>
  <si>
    <r>
      <rPr>
        <sz val="16"/>
        <rFont val="新細明體"/>
        <family val="1"/>
        <charset val="136"/>
      </rPr>
      <t>6月份午餐食材明細+營養分析</t>
    </r>
    <r>
      <rPr>
        <sz val="12"/>
        <rFont val="新細明體"/>
        <family val="1"/>
        <charset val="136"/>
      </rPr>
      <t xml:space="preserve">                   貝佳【第19週】</t>
    </r>
    <phoneticPr fontId="3" type="noConversion"/>
  </si>
  <si>
    <t>日期</t>
    <phoneticPr fontId="3" type="noConversion"/>
  </si>
  <si>
    <t>主菜</t>
    <phoneticPr fontId="3" type="noConversion"/>
  </si>
  <si>
    <t>重量(g)</t>
    <phoneticPr fontId="3" type="noConversion"/>
  </si>
  <si>
    <t>副菜</t>
    <phoneticPr fontId="3" type="noConversion"/>
  </si>
  <si>
    <t>湯</t>
    <phoneticPr fontId="3" type="noConversion"/>
  </si>
  <si>
    <t>主食</t>
    <phoneticPr fontId="3" type="noConversion"/>
  </si>
  <si>
    <t xml:space="preserve">營養分析 </t>
    <phoneticPr fontId="3" type="noConversion"/>
  </si>
  <si>
    <t>營養分析</t>
    <phoneticPr fontId="3" type="noConversion"/>
  </si>
  <si>
    <t>季節時蔬</t>
    <phoneticPr fontId="3" type="noConversion"/>
  </si>
  <si>
    <t>胚米飯</t>
    <phoneticPr fontId="3" type="noConversion"/>
  </si>
  <si>
    <t>醣類g：</t>
    <phoneticPr fontId="3" type="noConversion"/>
  </si>
  <si>
    <t>全穀雜糧類</t>
  </si>
  <si>
    <t>份</t>
    <phoneticPr fontId="3" type="noConversion"/>
  </si>
  <si>
    <t>熱量</t>
    <phoneticPr fontId="3" type="noConversion"/>
  </si>
  <si>
    <t>Kcal</t>
    <phoneticPr fontId="3" type="noConversion"/>
  </si>
  <si>
    <t>%</t>
    <phoneticPr fontId="3" type="noConversion"/>
  </si>
  <si>
    <t>食物六大類</t>
    <phoneticPr fontId="3" type="noConversion"/>
  </si>
  <si>
    <t>三大營養素</t>
    <phoneticPr fontId="3" type="noConversion"/>
  </si>
  <si>
    <t>蛋液</t>
    <phoneticPr fontId="3" type="noConversion"/>
  </si>
  <si>
    <t>百頁</t>
    <phoneticPr fontId="3" type="noConversion"/>
  </si>
  <si>
    <t>小白菜</t>
    <phoneticPr fontId="3" type="noConversion"/>
  </si>
  <si>
    <t>白米</t>
    <phoneticPr fontId="3" type="noConversion"/>
  </si>
  <si>
    <t>豆魚蛋肉類</t>
  </si>
  <si>
    <t>醣類</t>
    <phoneticPr fontId="3" type="noConversion"/>
  </si>
  <si>
    <t>g</t>
    <phoneticPr fontId="3" type="noConversion"/>
  </si>
  <si>
    <t>香菇</t>
    <phoneticPr fontId="3" type="noConversion"/>
  </si>
  <si>
    <t>適量</t>
    <phoneticPr fontId="3" type="noConversion"/>
  </si>
  <si>
    <t>薑絲</t>
    <phoneticPr fontId="3" type="noConversion"/>
  </si>
  <si>
    <t>胚米</t>
    <phoneticPr fontId="3" type="noConversion"/>
  </si>
  <si>
    <t>脂肪g：</t>
    <phoneticPr fontId="3" type="noConversion"/>
  </si>
  <si>
    <t>蔬菜類</t>
    <phoneticPr fontId="3" type="noConversion"/>
  </si>
  <si>
    <t>脂質</t>
    <phoneticPr fontId="3" type="noConversion"/>
  </si>
  <si>
    <t>青蔥</t>
    <phoneticPr fontId="3" type="noConversion"/>
  </si>
  <si>
    <t>小黃瓜</t>
    <phoneticPr fontId="3" type="noConversion"/>
  </si>
  <si>
    <t>水果類</t>
    <phoneticPr fontId="3" type="noConversion"/>
  </si>
  <si>
    <t>蛋白質</t>
    <phoneticPr fontId="3" type="noConversion"/>
  </si>
  <si>
    <t>紅蘿蔔</t>
    <phoneticPr fontId="3" type="noConversion"/>
  </si>
  <si>
    <t>蛋白質g：</t>
    <phoneticPr fontId="3" type="noConversion"/>
  </si>
  <si>
    <t>乳品類</t>
  </si>
  <si>
    <t>星期一</t>
    <phoneticPr fontId="3" type="noConversion"/>
  </si>
  <si>
    <t>油脂與堅果種子類</t>
    <phoneticPr fontId="3" type="noConversion"/>
  </si>
  <si>
    <t>熱量kcal：</t>
    <phoneticPr fontId="3" type="noConversion"/>
  </si>
  <si>
    <t>食材總熱量</t>
    <phoneticPr fontId="3" type="noConversion"/>
  </si>
  <si>
    <t>炒</t>
    <phoneticPr fontId="3" type="noConversion"/>
  </si>
  <si>
    <t>煮</t>
    <phoneticPr fontId="3" type="noConversion"/>
  </si>
  <si>
    <t>燙</t>
    <phoneticPr fontId="3" type="noConversion"/>
  </si>
  <si>
    <t>蒸</t>
    <phoneticPr fontId="3" type="noConversion"/>
  </si>
  <si>
    <t>燕麥飯</t>
    <phoneticPr fontId="3" type="noConversion"/>
  </si>
  <si>
    <t>肉丁</t>
    <phoneticPr fontId="3" type="noConversion"/>
  </si>
  <si>
    <t>青江菜</t>
    <phoneticPr fontId="3" type="noConversion"/>
  </si>
  <si>
    <t>廢棄率</t>
    <phoneticPr fontId="3" type="noConversion"/>
  </si>
  <si>
    <t>紅K</t>
    <phoneticPr fontId="3" type="noConversion"/>
  </si>
  <si>
    <t>排骨</t>
    <phoneticPr fontId="3" type="noConversion"/>
  </si>
  <si>
    <t>燕麥</t>
    <phoneticPr fontId="3" type="noConversion"/>
  </si>
  <si>
    <t>肉羹</t>
    <phoneticPr fontId="3" type="noConversion"/>
  </si>
  <si>
    <t>星期二</t>
    <phoneticPr fontId="3" type="noConversion"/>
  </si>
  <si>
    <t>木耳</t>
    <phoneticPr fontId="3" type="noConversion"/>
  </si>
  <si>
    <t>滷</t>
    <phoneticPr fontId="3" type="noConversion"/>
  </si>
  <si>
    <t>宮保四季</t>
    <phoneticPr fontId="3" type="noConversion"/>
  </si>
  <si>
    <t>炸</t>
    <phoneticPr fontId="3" type="noConversion"/>
  </si>
  <si>
    <t>洋芋</t>
    <phoneticPr fontId="3" type="noConversion"/>
  </si>
  <si>
    <t>四季豆</t>
    <phoneticPr fontId="3" type="noConversion"/>
  </si>
  <si>
    <t>油菜</t>
    <phoneticPr fontId="3" type="noConversion"/>
  </si>
  <si>
    <t>洋蔥</t>
    <phoneticPr fontId="3" type="noConversion"/>
  </si>
  <si>
    <t>豬肉</t>
    <phoneticPr fontId="3" type="noConversion"/>
  </si>
  <si>
    <t>雞丁</t>
    <phoneticPr fontId="3" type="noConversion"/>
  </si>
  <si>
    <t>豆腐味噌湯</t>
    <phoneticPr fontId="3" type="noConversion"/>
  </si>
  <si>
    <t>花生</t>
    <phoneticPr fontId="3" type="noConversion"/>
  </si>
  <si>
    <t>板豆腐</t>
    <phoneticPr fontId="3" type="noConversion"/>
  </si>
  <si>
    <t>玉米粒</t>
    <phoneticPr fontId="3" type="noConversion"/>
  </si>
  <si>
    <t>青豆仁</t>
    <phoneticPr fontId="3" type="noConversion"/>
  </si>
  <si>
    <t>豆干</t>
    <phoneticPr fontId="3" type="noConversion"/>
  </si>
  <si>
    <t>洋蔥大丁</t>
    <phoneticPr fontId="3" type="noConversion"/>
  </si>
  <si>
    <t>星期三</t>
    <phoneticPr fontId="3" type="noConversion"/>
  </si>
  <si>
    <t>海芽</t>
    <phoneticPr fontId="3" type="noConversion"/>
  </si>
  <si>
    <t>小米飯</t>
    <phoneticPr fontId="3" type="noConversion"/>
  </si>
  <si>
    <t>空心菜</t>
    <phoneticPr fontId="3" type="noConversion"/>
  </si>
  <si>
    <t>小米</t>
    <phoneticPr fontId="3" type="noConversion"/>
  </si>
  <si>
    <t>白蘿蔔</t>
    <phoneticPr fontId="3" type="noConversion"/>
  </si>
  <si>
    <t>星期四</t>
    <phoneticPr fontId="3" type="noConversion"/>
  </si>
  <si>
    <t>高麗菜</t>
    <phoneticPr fontId="3" type="noConversion"/>
  </si>
  <si>
    <t>燒</t>
    <phoneticPr fontId="3" type="noConversion"/>
  </si>
  <si>
    <t>蕃茄燉雞</t>
    <phoneticPr fontId="3" type="noConversion"/>
  </si>
  <si>
    <t>香滷油腐</t>
    <phoneticPr fontId="3" type="noConversion"/>
  </si>
  <si>
    <t>玉米濃湯</t>
    <phoneticPr fontId="3" type="noConversion"/>
  </si>
  <si>
    <t>油豆腐</t>
    <phoneticPr fontId="3" type="noConversion"/>
  </si>
  <si>
    <t>番茄</t>
    <phoneticPr fontId="3" type="noConversion"/>
  </si>
  <si>
    <t>星期五</t>
    <phoneticPr fontId="3" type="noConversion"/>
  </si>
  <si>
    <t>韭菜</t>
    <phoneticPr fontId="3" type="noConversion"/>
  </si>
  <si>
    <t>液蛋</t>
    <phoneticPr fontId="3" type="noConversion"/>
  </si>
  <si>
    <t>燉</t>
    <phoneticPr fontId="3" type="noConversion"/>
  </si>
  <si>
    <t>1人1餐份數*____餐</t>
    <phoneticPr fontId="3" type="noConversion"/>
  </si>
  <si>
    <t>菜單開立均是以可食量(EP)計算</t>
    <phoneticPr fontId="3" type="noConversion"/>
  </si>
  <si>
    <t>每週一、三、五提供深綠色蔬菜 (有機蔬菜菜名需待前一週農民告知)</t>
    <phoneticPr fontId="3" type="noConversion"/>
  </si>
  <si>
    <t>全面使用非基改豆製品</t>
    <phoneticPr fontId="3" type="noConversion"/>
  </si>
  <si>
    <t>水果若是香蕉為2份；蘋果、芭樂、橘子為1份；小番茄、葡萄等為0.3份(水果需待前一週廠商告知)</t>
    <phoneticPr fontId="3" type="noConversion"/>
  </si>
  <si>
    <r>
      <rPr>
        <sz val="16"/>
        <rFont val="新細明體"/>
        <family val="1"/>
        <charset val="136"/>
      </rPr>
      <t>7月份午餐食材明細+營養分析</t>
    </r>
    <r>
      <rPr>
        <sz val="12"/>
        <rFont val="新細明體"/>
        <family val="1"/>
        <charset val="136"/>
      </rPr>
      <t xml:space="preserve">                   貝佳【第20週】</t>
    </r>
    <phoneticPr fontId="3" type="noConversion"/>
  </si>
  <si>
    <t>青菜</t>
    <phoneticPr fontId="3" type="noConversion"/>
  </si>
  <si>
    <t>日式咖哩</t>
    <phoneticPr fontId="3" type="noConversion"/>
  </si>
  <si>
    <t>季節蔬菜</t>
    <phoneticPr fontId="3" type="noConversion"/>
  </si>
  <si>
    <t>枸杞冬瓜湯</t>
    <phoneticPr fontId="3" type="noConversion"/>
  </si>
  <si>
    <t>冬瓜</t>
    <phoneticPr fontId="3" type="noConversion"/>
  </si>
  <si>
    <t>枸杞</t>
    <phoneticPr fontId="3" type="noConversion"/>
  </si>
  <si>
    <t>食材總熱量</t>
    <phoneticPr fontId="3" type="noConversion"/>
  </si>
  <si>
    <t>Kcal</t>
    <phoneticPr fontId="3" type="noConversion"/>
  </si>
  <si>
    <t>蔥爆肉片</t>
    <phoneticPr fontId="3" type="noConversion"/>
  </si>
  <si>
    <t>玉米肉末</t>
    <phoneticPr fontId="3" type="noConversion"/>
  </si>
  <si>
    <t>季節蔬菜</t>
    <phoneticPr fontId="3" type="noConversion"/>
  </si>
  <si>
    <t>薑絲紫菜湯</t>
    <phoneticPr fontId="3" type="noConversion"/>
  </si>
  <si>
    <t>醣類g：</t>
    <phoneticPr fontId="3" type="noConversion"/>
  </si>
  <si>
    <t>食物六大類</t>
    <phoneticPr fontId="3" type="noConversion"/>
  </si>
  <si>
    <t>三大營養素</t>
    <phoneticPr fontId="3" type="noConversion"/>
  </si>
  <si>
    <t>肉片</t>
    <phoneticPr fontId="3" type="noConversion"/>
  </si>
  <si>
    <t>玉米粒</t>
    <phoneticPr fontId="3" type="noConversion"/>
  </si>
  <si>
    <t>鵝白菜</t>
    <phoneticPr fontId="3" type="noConversion"/>
  </si>
  <si>
    <t>紫菜</t>
    <phoneticPr fontId="3" type="noConversion"/>
  </si>
  <si>
    <t>份</t>
    <phoneticPr fontId="3" type="noConversion"/>
  </si>
  <si>
    <t>熱量</t>
    <phoneticPr fontId="3" type="noConversion"/>
  </si>
  <si>
    <t>%</t>
    <phoneticPr fontId="3" type="noConversion"/>
  </si>
  <si>
    <t>份</t>
    <phoneticPr fontId="3" type="noConversion"/>
  </si>
  <si>
    <t>熱量</t>
    <phoneticPr fontId="3" type="noConversion"/>
  </si>
  <si>
    <t>洋地瓜</t>
    <phoneticPr fontId="27" type="noConversion"/>
  </si>
  <si>
    <t>絞肉</t>
    <phoneticPr fontId="3" type="noConversion"/>
  </si>
  <si>
    <t>毛豆仁</t>
    <phoneticPr fontId="3" type="noConversion"/>
  </si>
  <si>
    <t>芋頭</t>
    <phoneticPr fontId="3" type="noConversion"/>
  </si>
  <si>
    <t>紅K</t>
  </si>
  <si>
    <t>蒜味豬排</t>
    <phoneticPr fontId="3" type="noConversion"/>
  </si>
  <si>
    <t>泰式打拋肉</t>
    <phoneticPr fontId="3" type="noConversion"/>
  </si>
  <si>
    <t>雙菇雪花湯</t>
    <phoneticPr fontId="3" type="noConversion"/>
  </si>
  <si>
    <t>里肌排</t>
    <phoneticPr fontId="3" type="noConversion"/>
  </si>
  <si>
    <t>黑輪段</t>
    <phoneticPr fontId="3" type="noConversion"/>
  </si>
  <si>
    <t>金針菇</t>
    <phoneticPr fontId="3" type="noConversion"/>
  </si>
  <si>
    <t>小香菇</t>
    <phoneticPr fontId="3" type="noConversion"/>
  </si>
  <si>
    <t>九層塔</t>
    <phoneticPr fontId="3" type="noConversion"/>
  </si>
  <si>
    <t>干丁</t>
    <phoneticPr fontId="3" type="noConversion"/>
  </si>
  <si>
    <t>甜椒</t>
    <phoneticPr fontId="3" type="noConversion"/>
  </si>
  <si>
    <t>糖醋雞丁</t>
    <phoneticPr fontId="3" type="noConversion"/>
  </si>
  <si>
    <t>綜合滷味</t>
    <phoneticPr fontId="3" type="noConversion"/>
  </si>
  <si>
    <t>味噌肉片高麗</t>
    <phoneticPr fontId="3" type="noConversion"/>
  </si>
  <si>
    <t>黃瓜排骨湯</t>
    <phoneticPr fontId="3" type="noConversion"/>
  </si>
  <si>
    <t>黃瓜</t>
    <phoneticPr fontId="3" type="noConversion"/>
  </si>
  <si>
    <t>肉片</t>
    <phoneticPr fontId="3" type="noConversion"/>
  </si>
  <si>
    <t>鳳梨</t>
    <phoneticPr fontId="3" type="noConversion"/>
  </si>
  <si>
    <t>水晶餃</t>
    <phoneticPr fontId="3" type="noConversion"/>
  </si>
  <si>
    <t>玉米</t>
    <phoneticPr fontId="3" type="noConversion"/>
  </si>
  <si>
    <r>
      <rPr>
        <sz val="16"/>
        <rFont val="新細明體"/>
        <family val="1"/>
        <charset val="136"/>
      </rPr>
      <t>7月份午餐食材明細+營養分析</t>
    </r>
    <r>
      <rPr>
        <sz val="12"/>
        <rFont val="新細明體"/>
        <family val="1"/>
        <charset val="136"/>
      </rPr>
      <t xml:space="preserve">                   貝佳【第21週】</t>
    </r>
    <phoneticPr fontId="3" type="noConversion"/>
  </si>
  <si>
    <t>藥膳鮮蔬湯</t>
    <phoneticPr fontId="3" type="noConversion"/>
  </si>
  <si>
    <t>豆皮</t>
    <phoneticPr fontId="3" type="noConversion"/>
  </si>
  <si>
    <t>金針菇</t>
  </si>
  <si>
    <t>藥膳包</t>
    <phoneticPr fontId="3" type="noConversion"/>
  </si>
  <si>
    <t>鮮瓜燴鴿蛋</t>
    <phoneticPr fontId="3" type="noConversion"/>
  </si>
  <si>
    <t>酸辣湯</t>
    <phoneticPr fontId="3" type="noConversion"/>
  </si>
  <si>
    <t>瓠瓜</t>
    <phoneticPr fontId="3" type="noConversion"/>
  </si>
  <si>
    <t>豆腐</t>
    <phoneticPr fontId="3" type="noConversion"/>
  </si>
  <si>
    <t>竹筍</t>
    <phoneticPr fontId="3" type="noConversion"/>
  </si>
  <si>
    <t>鴿蛋</t>
    <phoneticPr fontId="3" type="noConversion"/>
  </si>
  <si>
    <t>豬血</t>
    <phoneticPr fontId="3" type="noConversion"/>
  </si>
  <si>
    <t>脆皮雞翅</t>
    <phoneticPr fontId="3" type="noConversion"/>
  </si>
  <si>
    <t>雞翅</t>
    <phoneticPr fontId="3" type="noConversion"/>
  </si>
  <si>
    <t>炸</t>
    <phoneticPr fontId="3" type="noConversion"/>
  </si>
  <si>
    <t>適量</t>
    <phoneticPr fontId="3" type="noConversion"/>
  </si>
  <si>
    <t>珍珠可可</t>
    <phoneticPr fontId="3" type="noConversion"/>
  </si>
  <si>
    <t>可可粉</t>
    <phoneticPr fontId="3" type="noConversion"/>
  </si>
  <si>
    <t>珍珠</t>
    <phoneticPr fontId="3" type="noConversion"/>
  </si>
  <si>
    <t>蕃茄燉雞</t>
    <phoneticPr fontId="3" type="noConversion"/>
  </si>
  <si>
    <t>蒜味豬排</t>
    <phoneticPr fontId="3" type="noConversion"/>
  </si>
  <si>
    <t>糖醋雞丁</t>
    <phoneticPr fontId="3" type="noConversion"/>
  </si>
  <si>
    <t>胚米飯</t>
    <phoneticPr fontId="3" type="noConversion"/>
  </si>
  <si>
    <t>蔥爆肉片</t>
    <phoneticPr fontId="3" type="noConversion"/>
  </si>
  <si>
    <t>脆皮雞翅</t>
    <phoneticPr fontId="3" type="noConversion"/>
  </si>
  <si>
    <t>日式咖哩</t>
    <phoneticPr fontId="3" type="noConversion"/>
  </si>
  <si>
    <t>香Q白飯</t>
    <phoneticPr fontId="3" type="noConversion"/>
  </si>
  <si>
    <t>紅燒雞腿</t>
    <phoneticPr fontId="3" type="noConversion"/>
  </si>
  <si>
    <t>宮保四季</t>
    <phoneticPr fontId="3" type="noConversion"/>
  </si>
  <si>
    <t>葡萄奶酥</t>
    <phoneticPr fontId="3" type="noConversion"/>
  </si>
  <si>
    <t>可可珍珠</t>
    <phoneticPr fontId="3" type="noConversion"/>
  </si>
  <si>
    <t>玉米濃湯</t>
    <phoneticPr fontId="3" type="noConversion"/>
  </si>
  <si>
    <t>鮮瓜燴鴿蛋</t>
    <phoneticPr fontId="3" type="noConversion"/>
  </si>
  <si>
    <t>酸辣湯</t>
    <phoneticPr fontId="3" type="noConversion"/>
  </si>
  <si>
    <t>在地人炒麵</t>
    <phoneticPr fontId="3" type="noConversion"/>
  </si>
  <si>
    <t>紅蘿蔔炒蛋</t>
    <phoneticPr fontId="3" type="noConversion"/>
  </si>
  <si>
    <t>海苔嫩腐</t>
    <phoneticPr fontId="3" type="noConversion"/>
  </si>
  <si>
    <t>青江菜</t>
    <phoneticPr fontId="3" type="noConversion"/>
  </si>
  <si>
    <t>鵝白菜</t>
    <phoneticPr fontId="3" type="noConversion"/>
  </si>
  <si>
    <t>空心菜</t>
    <phoneticPr fontId="3" type="noConversion"/>
  </si>
  <si>
    <t>小白菜</t>
    <phoneticPr fontId="3" type="noConversion"/>
  </si>
  <si>
    <t>油菜</t>
    <phoneticPr fontId="3" type="noConversion"/>
  </si>
  <si>
    <t>小米飯</t>
    <phoneticPr fontId="3" type="noConversion"/>
  </si>
  <si>
    <t>黑胡椒豬柳</t>
    <phoneticPr fontId="3" type="noConversion"/>
  </si>
  <si>
    <t>椒香魚排</t>
    <phoneticPr fontId="3" type="noConversion"/>
  </si>
  <si>
    <t>紅豆芋圓湯</t>
    <phoneticPr fontId="3" type="noConversion"/>
  </si>
  <si>
    <t>鐵板炒肉</t>
    <phoneticPr fontId="3" type="noConversion"/>
  </si>
  <si>
    <t>繽紛蝦捲</t>
    <phoneticPr fontId="3" type="noConversion"/>
  </si>
  <si>
    <t>花枝丸粉絲煲</t>
    <phoneticPr fontId="3" type="noConversion"/>
  </si>
  <si>
    <t>小瓜炒雞丁</t>
    <phoneticPr fontId="3" type="noConversion"/>
  </si>
  <si>
    <t>紅燒肉</t>
    <phoneticPr fontId="3" type="noConversion"/>
  </si>
  <si>
    <t>紅燒肉</t>
    <phoneticPr fontId="3" type="noConversion"/>
  </si>
  <si>
    <t>紅油抄手</t>
    <phoneticPr fontId="3" type="noConversion"/>
  </si>
  <si>
    <t>彩繪魚輪</t>
    <phoneticPr fontId="3" type="noConversion"/>
  </si>
  <si>
    <t>鐵板炒肉</t>
    <phoneticPr fontId="3" type="noConversion"/>
  </si>
  <si>
    <t>高麗菜</t>
    <phoneticPr fontId="3" type="noConversion"/>
  </si>
  <si>
    <t>椒香魚排</t>
    <phoneticPr fontId="3" type="noConversion"/>
  </si>
  <si>
    <t>魚排</t>
    <phoneticPr fontId="3" type="noConversion"/>
  </si>
  <si>
    <t>葡萄奶酥</t>
    <phoneticPr fontId="3" type="noConversion"/>
  </si>
  <si>
    <t>烤</t>
    <phoneticPr fontId="3" type="noConversion"/>
  </si>
  <si>
    <t>在地人炒麵</t>
    <phoneticPr fontId="3" type="noConversion"/>
  </si>
  <si>
    <t>油麵</t>
    <phoneticPr fontId="3" type="noConversion"/>
  </si>
  <si>
    <t>木耳</t>
    <phoneticPr fontId="3" type="noConversion"/>
  </si>
  <si>
    <t>高麗菜</t>
    <phoneticPr fontId="27" type="noConversion"/>
  </si>
  <si>
    <t>豬肉</t>
    <phoneticPr fontId="3" type="noConversion"/>
  </si>
  <si>
    <t>蔥</t>
    <phoneticPr fontId="27" type="noConversion"/>
  </si>
  <si>
    <t>炒</t>
    <phoneticPr fontId="3" type="noConversion"/>
  </si>
  <si>
    <t>紅蘿蔔</t>
    <phoneticPr fontId="27" type="noConversion"/>
  </si>
  <si>
    <t>豬肉</t>
    <phoneticPr fontId="27" type="noConversion"/>
  </si>
  <si>
    <t>小瓜炒雞丁</t>
    <phoneticPr fontId="3" type="noConversion"/>
  </si>
  <si>
    <t>花枝丸粉絲煲</t>
    <phoneticPr fontId="3" type="noConversion"/>
  </si>
  <si>
    <t>小黃瓜</t>
    <phoneticPr fontId="3" type="noConversion"/>
  </si>
  <si>
    <t>花枝丸</t>
    <phoneticPr fontId="3" type="noConversion"/>
  </si>
  <si>
    <t>雞丁</t>
    <phoneticPr fontId="3" type="noConversion"/>
  </si>
  <si>
    <t>粉絲</t>
    <phoneticPr fontId="3" type="noConversion"/>
  </si>
  <si>
    <t>紅蘿蔔</t>
    <phoneticPr fontId="3" type="noConversion"/>
  </si>
  <si>
    <t>高麗菜</t>
    <phoneticPr fontId="3" type="noConversion"/>
  </si>
  <si>
    <t>木耳絲</t>
    <phoneticPr fontId="3" type="noConversion"/>
  </si>
  <si>
    <t>洋蔥</t>
    <phoneticPr fontId="3" type="noConversion"/>
  </si>
  <si>
    <t>芹菜</t>
    <phoneticPr fontId="3" type="noConversion"/>
  </si>
  <si>
    <t>炒</t>
    <phoneticPr fontId="3" type="noConversion"/>
  </si>
  <si>
    <t>香Q白飯</t>
    <phoneticPr fontId="3" type="noConversion"/>
  </si>
  <si>
    <t>鵝白菜</t>
    <phoneticPr fontId="3" type="noConversion"/>
  </si>
  <si>
    <t>燙</t>
    <phoneticPr fontId="3" type="noConversion"/>
  </si>
  <si>
    <t>紅燒雞腿</t>
    <phoneticPr fontId="3" type="noConversion"/>
  </si>
  <si>
    <t>雞腿</t>
    <phoneticPr fontId="3" type="noConversion"/>
  </si>
  <si>
    <t>海苔嫩腐</t>
    <phoneticPr fontId="3" type="noConversion"/>
  </si>
  <si>
    <t>豆腐</t>
    <phoneticPr fontId="3" type="noConversion"/>
  </si>
  <si>
    <t>海苔</t>
    <phoneticPr fontId="3" type="noConversion"/>
  </si>
  <si>
    <t>滷</t>
    <phoneticPr fontId="3" type="noConversion"/>
  </si>
  <si>
    <t>紅油抄手</t>
    <phoneticPr fontId="3" type="noConversion"/>
  </si>
  <si>
    <t>抄手</t>
    <phoneticPr fontId="3" type="noConversion"/>
  </si>
  <si>
    <t>豆芽菜</t>
    <phoneticPr fontId="3" type="noConversion"/>
  </si>
  <si>
    <t>紅蘿蔔炒蛋</t>
    <phoneticPr fontId="3" type="noConversion"/>
  </si>
  <si>
    <t>雙花炒魷魚</t>
    <phoneticPr fontId="3" type="noConversion"/>
  </si>
  <si>
    <t>液蛋</t>
    <phoneticPr fontId="3" type="noConversion"/>
  </si>
  <si>
    <t>青花菜</t>
    <phoneticPr fontId="3" type="noConversion"/>
  </si>
  <si>
    <t>白花椰</t>
    <phoneticPr fontId="3" type="noConversion"/>
  </si>
  <si>
    <t>青蔥</t>
    <phoneticPr fontId="27" type="noConversion"/>
  </si>
  <si>
    <t>魷魚</t>
    <phoneticPr fontId="3" type="noConversion"/>
  </si>
  <si>
    <t>紅豆芋圓湯</t>
    <phoneticPr fontId="3" type="noConversion"/>
  </si>
  <si>
    <t>紅豆</t>
    <phoneticPr fontId="3" type="noConversion"/>
  </si>
  <si>
    <t>芋圓</t>
    <phoneticPr fontId="3" type="noConversion"/>
  </si>
  <si>
    <t>彩繪魚輪</t>
    <phoneticPr fontId="3" type="noConversion"/>
  </si>
  <si>
    <t>蒸</t>
    <phoneticPr fontId="3" type="noConversion"/>
  </si>
  <si>
    <t>油菜</t>
    <phoneticPr fontId="3" type="noConversion"/>
  </si>
  <si>
    <t>黑胡椒豬柳</t>
    <phoneticPr fontId="3" type="noConversion"/>
  </si>
  <si>
    <t>豬柳</t>
    <phoneticPr fontId="3" type="noConversion"/>
  </si>
  <si>
    <t>洋蔥</t>
    <phoneticPr fontId="3" type="noConversion"/>
  </si>
  <si>
    <t>紅蘿蔔</t>
    <phoneticPr fontId="3" type="noConversion"/>
  </si>
  <si>
    <t>蜜汁豆干</t>
    <phoneticPr fontId="3" type="noConversion"/>
  </si>
  <si>
    <t>蜜汁豆干</t>
    <phoneticPr fontId="3" type="noConversion"/>
  </si>
  <si>
    <t>滷</t>
    <phoneticPr fontId="3" type="noConversion"/>
  </si>
  <si>
    <t>豆干</t>
    <phoneticPr fontId="3" type="noConversion"/>
  </si>
  <si>
    <t>芝麻</t>
    <phoneticPr fontId="3" type="noConversion"/>
  </si>
  <si>
    <t>煮</t>
    <phoneticPr fontId="3" type="noConversion"/>
  </si>
  <si>
    <t>彩繪鮮蔬</t>
    <phoneticPr fontId="3" type="noConversion"/>
  </si>
  <si>
    <t>甜不辣</t>
    <phoneticPr fontId="3" type="noConversion"/>
  </si>
  <si>
    <t>繽紛蝦捲</t>
    <phoneticPr fontId="3" type="noConversion"/>
  </si>
  <si>
    <t>蝦捲</t>
    <phoneticPr fontId="3" type="noConversion"/>
  </si>
  <si>
    <t>玉米粒</t>
    <phoneticPr fontId="3" type="noConversion"/>
  </si>
  <si>
    <t>紅K</t>
    <phoneticPr fontId="3" type="noConversion"/>
  </si>
  <si>
    <t>青豆仁</t>
    <phoneticPr fontId="3" type="noConversion"/>
  </si>
  <si>
    <t>青江菜</t>
    <phoneticPr fontId="3" type="noConversion"/>
  </si>
  <si>
    <t>無骨香雞排</t>
    <phoneticPr fontId="3" type="noConversion"/>
  </si>
  <si>
    <t>香雞排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</si>
</sst>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76" formatCode="m&quot;月&quot;d&quot;日&quot;"/>
    <numFmt numFmtId="177" formatCode="m&quot;月&quot;d&quot;日&quot;;@"/>
    <numFmt numFmtId="178" formatCode="0.0_ "/>
    <numFmt numFmtId="179" formatCode="0.0"/>
    <numFmt numFmtId="180" formatCode="0.00_ "/>
  </numFmts>
  <fonts count="3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8"/>
      <color indexed="18"/>
      <name val="華康布丁體"/>
      <family val="5"/>
      <charset val="136"/>
    </font>
    <font>
      <sz val="9"/>
      <name val="新細明體"/>
      <family val="1"/>
      <charset val="136"/>
    </font>
    <font>
      <sz val="14"/>
      <name val="華康中圓體(P)"/>
      <family val="2"/>
      <charset val="136"/>
    </font>
    <font>
      <sz val="12"/>
      <color indexed="8"/>
      <name val="華康中圓體(P)"/>
      <family val="2"/>
      <charset val="136"/>
    </font>
    <font>
      <sz val="12"/>
      <name val="華康中圓體(P)"/>
      <family val="2"/>
      <charset val="136"/>
    </font>
    <font>
      <sz val="18"/>
      <name val="華康娃娃體(P)"/>
      <family val="5"/>
      <charset val="136"/>
    </font>
    <font>
      <sz val="28"/>
      <color indexed="10"/>
      <name val="華康POP1體W7(P)"/>
      <family val="5"/>
      <charset val="136"/>
    </font>
    <font>
      <sz val="28"/>
      <name val="華康POP1體W7(P)"/>
      <family val="5"/>
      <charset val="136"/>
    </font>
    <font>
      <sz val="18"/>
      <color indexed="8"/>
      <name val="華康娃娃體(P)"/>
      <family val="5"/>
      <charset val="136"/>
    </font>
    <font>
      <sz val="18"/>
      <color rgb="FF008000"/>
      <name val="華康娃娃體(P)"/>
      <family val="5"/>
      <charset val="136"/>
    </font>
    <font>
      <sz val="10"/>
      <name val="華康中圓體(P)"/>
      <family val="2"/>
      <charset val="136"/>
    </font>
    <font>
      <b/>
      <sz val="9"/>
      <name val="華康中圓體(P)"/>
      <family val="2"/>
      <charset val="136"/>
    </font>
    <font>
      <sz val="22"/>
      <color indexed="10"/>
      <name val="華康POP1體W7(P)"/>
      <family val="5"/>
      <charset val="136"/>
    </font>
    <font>
      <sz val="22"/>
      <name val="華康POP1體W7(P)"/>
      <family val="5"/>
      <charset val="136"/>
    </font>
    <font>
      <sz val="28"/>
      <color indexed="41"/>
      <name val="華康中圓體(P)"/>
      <family val="2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1"/>
      <color indexed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0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17"/>
      <name val="新細明體"/>
      <family val="1"/>
      <charset val="136"/>
    </font>
    <font>
      <sz val="34"/>
      <color indexed="10"/>
      <name val="華康POP1體W7(P)"/>
      <family val="5"/>
      <charset val="136"/>
    </font>
    <font>
      <sz val="34"/>
      <name val="華康POP1體W7(P)"/>
      <family val="5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0" fillId="0" borderId="0"/>
    <xf numFmtId="0" fontId="31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176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177" fontId="5" fillId="2" borderId="3" xfId="0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2" fillId="0" borderId="12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" fillId="5" borderId="19" xfId="2" applyFont="1" applyFill="1" applyBorder="1" applyAlignment="1">
      <alignment horizontal="center" vertical="center"/>
    </xf>
    <xf numFmtId="178" fontId="1" fillId="0" borderId="20" xfId="2" applyNumberFormat="1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2" xfId="2" applyFont="1" applyFill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2" applyFont="1" applyFill="1" applyBorder="1" applyAlignment="1">
      <alignment horizontal="left" vertical="center" shrinkToFit="1"/>
    </xf>
    <xf numFmtId="0" fontId="1" fillId="0" borderId="11" xfId="2" applyFont="1" applyFill="1" applyBorder="1" applyAlignment="1">
      <alignment horizontal="center" vertical="center" shrinkToFit="1"/>
    </xf>
    <xf numFmtId="0" fontId="0" fillId="0" borderId="26" xfId="2" applyFont="1" applyFill="1" applyBorder="1" applyAlignment="1">
      <alignment vertical="center" shrinkToFit="1"/>
    </xf>
    <xf numFmtId="0" fontId="0" fillId="0" borderId="10" xfId="2" applyFont="1" applyFill="1" applyBorder="1" applyAlignment="1">
      <alignment vertical="center" shrinkToFit="1"/>
    </xf>
    <xf numFmtId="0" fontId="1" fillId="0" borderId="25" xfId="2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9" fontId="18" fillId="0" borderId="5" xfId="0" applyNumberFormat="1" applyFont="1" applyBorder="1" applyAlignment="1">
      <alignment horizontal="right" vertical="center"/>
    </xf>
    <xf numFmtId="0" fontId="1" fillId="6" borderId="27" xfId="2" applyFont="1" applyFill="1" applyBorder="1" applyAlignment="1">
      <alignment horizontal="center" vertical="center"/>
    </xf>
    <xf numFmtId="180" fontId="1" fillId="0" borderId="28" xfId="2" applyNumberFormat="1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1" fillId="2" borderId="29" xfId="2" applyFont="1" applyFill="1" applyBorder="1" applyAlignment="1">
      <alignment horizontal="center" vertical="center"/>
    </xf>
    <xf numFmtId="179" fontId="1" fillId="0" borderId="30" xfId="2" applyNumberFormat="1" applyFont="1" applyFill="1" applyBorder="1" applyAlignment="1">
      <alignment horizontal="center" vertical="center"/>
    </xf>
    <xf numFmtId="9" fontId="1" fillId="0" borderId="31" xfId="3" applyNumberFormat="1" applyFont="1" applyFill="1" applyBorder="1" applyAlignment="1">
      <alignment horizontal="center" vertical="center"/>
    </xf>
    <xf numFmtId="0" fontId="1" fillId="5" borderId="32" xfId="2" applyFont="1" applyFill="1" applyBorder="1" applyAlignment="1">
      <alignment horizontal="center" vertical="center"/>
    </xf>
    <xf numFmtId="0" fontId="0" fillId="0" borderId="12" xfId="4" applyFont="1" applyBorder="1" applyAlignment="1">
      <alignment horizontal="left" vertical="center" shrinkToFit="1"/>
    </xf>
    <xf numFmtId="0" fontId="1" fillId="0" borderId="25" xfId="4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vertical="center" shrinkToFit="1"/>
    </xf>
    <xf numFmtId="0" fontId="0" fillId="0" borderId="11" xfId="2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18" fillId="0" borderId="5" xfId="0" applyFont="1" applyBorder="1">
      <alignment vertical="center"/>
    </xf>
    <xf numFmtId="0" fontId="1" fillId="7" borderId="27" xfId="2" applyFont="1" applyFill="1" applyBorder="1" applyAlignment="1">
      <alignment horizontal="center" vertical="center"/>
    </xf>
    <xf numFmtId="0" fontId="0" fillId="0" borderId="10" xfId="4" applyFont="1" applyBorder="1" applyAlignment="1">
      <alignment horizontal="left" vertical="center" shrinkToFit="1"/>
    </xf>
    <xf numFmtId="0" fontId="1" fillId="0" borderId="11" xfId="4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9" fontId="21" fillId="0" borderId="11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1" fillId="8" borderId="27" xfId="2" applyFont="1" applyFill="1" applyBorder="1" applyAlignment="1">
      <alignment horizontal="center" vertical="center"/>
    </xf>
    <xf numFmtId="178" fontId="1" fillId="0" borderId="28" xfId="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" fillId="9" borderId="27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9" fontId="1" fillId="0" borderId="11" xfId="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shrinkToFit="1"/>
    </xf>
    <xf numFmtId="0" fontId="1" fillId="10" borderId="27" xfId="2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1" fillId="0" borderId="33" xfId="2" applyFont="1" applyFill="1" applyBorder="1" applyAlignment="1">
      <alignment horizontal="center" vertical="center"/>
    </xf>
    <xf numFmtId="0" fontId="1" fillId="0" borderId="34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6" xfId="0" applyFont="1" applyBorder="1">
      <alignment vertical="center"/>
    </xf>
    <xf numFmtId="178" fontId="1" fillId="0" borderId="37" xfId="2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12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" fillId="2" borderId="39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horizontal="center" vertical="center"/>
    </xf>
    <xf numFmtId="0" fontId="1" fillId="0" borderId="40" xfId="2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vertical="center" shrinkToFit="1"/>
    </xf>
    <xf numFmtId="9" fontId="22" fillId="0" borderId="11" xfId="2" applyNumberFormat="1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shrinkToFit="1"/>
    </xf>
    <xf numFmtId="0" fontId="24" fillId="0" borderId="10" xfId="0" applyFont="1" applyBorder="1" applyAlignment="1">
      <alignment vertical="center" shrinkToFit="1"/>
    </xf>
    <xf numFmtId="9" fontId="24" fillId="0" borderId="11" xfId="0" applyNumberFormat="1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9" fontId="21" fillId="0" borderId="11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0" fillId="0" borderId="10" xfId="5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5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25" fillId="0" borderId="41" xfId="0" applyFont="1" applyFill="1" applyBorder="1" applyAlignment="1">
      <alignment vertical="center"/>
    </xf>
    <xf numFmtId="0" fontId="22" fillId="0" borderId="10" xfId="0" applyFont="1" applyBorder="1" applyAlignment="1">
      <alignment vertical="center" shrinkToFit="1"/>
    </xf>
    <xf numFmtId="0" fontId="19" fillId="0" borderId="26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1" fillId="0" borderId="42" xfId="4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9" fontId="22" fillId="0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0" fillId="0" borderId="10" xfId="5" applyFont="1" applyBorder="1" applyAlignment="1">
      <alignment vertical="center" shrinkToFit="1"/>
    </xf>
    <xf numFmtId="0" fontId="1" fillId="0" borderId="11" xfId="5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21" fillId="0" borderId="10" xfId="2" applyFont="1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5" xfId="2" applyFont="1" applyFill="1" applyBorder="1" applyAlignment="1">
      <alignment horizontal="center" vertical="center" shrinkToFit="1"/>
    </xf>
    <xf numFmtId="0" fontId="0" fillId="0" borderId="10" xfId="2" applyFont="1" applyBorder="1" applyAlignment="1">
      <alignment vertical="center" shrinkToFit="1"/>
    </xf>
    <xf numFmtId="0" fontId="0" fillId="0" borderId="11" xfId="2" applyFont="1" applyBorder="1" applyAlignment="1">
      <alignment horizontal="center" vertical="center" shrinkToFit="1"/>
    </xf>
    <xf numFmtId="0" fontId="1" fillId="0" borderId="26" xfId="2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9" fontId="22" fillId="0" borderId="11" xfId="0" applyNumberFormat="1" applyFont="1" applyBorder="1" applyAlignment="1">
      <alignment horizontal="center" vertical="center" shrinkToFit="1"/>
    </xf>
    <xf numFmtId="9" fontId="21" fillId="0" borderId="0" xfId="0" applyNumberFormat="1" applyFont="1" applyFill="1" applyBorder="1" applyAlignment="1">
      <alignment horizontal="center" vertical="center" shrinkToFit="1"/>
    </xf>
    <xf numFmtId="0" fontId="0" fillId="7" borderId="27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" fillId="0" borderId="25" xfId="2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1" fillId="0" borderId="43" xfId="4" applyFont="1" applyBorder="1" applyAlignment="1">
      <alignment horizontal="center" vertical="center" shrinkToFit="1"/>
    </xf>
    <xf numFmtId="0" fontId="1" fillId="0" borderId="44" xfId="4" applyFont="1" applyBorder="1" applyAlignment="1">
      <alignment horizontal="left" vertical="center" shrinkToFit="1"/>
    </xf>
    <xf numFmtId="0" fontId="1" fillId="0" borderId="45" xfId="4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18" fillId="0" borderId="0" xfId="0" applyFont="1">
      <alignment vertical="center"/>
    </xf>
    <xf numFmtId="0" fontId="1" fillId="0" borderId="25" xfId="2" applyFont="1" applyFill="1" applyBorder="1" applyAlignment="1">
      <alignment horizontal="center" vertical="center" shrinkToFit="1"/>
    </xf>
    <xf numFmtId="176" fontId="5" fillId="2" borderId="48" xfId="0" applyNumberFormat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32" fillId="0" borderId="8" xfId="1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32" fillId="0" borderId="10" xfId="1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32" fillId="14" borderId="8" xfId="1" applyFont="1" applyFill="1" applyBorder="1" applyAlignment="1">
      <alignment horizontal="center" vertical="center" shrinkToFit="1"/>
    </xf>
    <xf numFmtId="0" fontId="33" fillId="14" borderId="9" xfId="0" applyFont="1" applyFill="1" applyBorder="1" applyAlignment="1">
      <alignment horizontal="center" vertical="center" shrinkToFit="1"/>
    </xf>
    <xf numFmtId="0" fontId="32" fillId="14" borderId="10" xfId="1" applyFont="1" applyFill="1" applyBorder="1" applyAlignment="1">
      <alignment horizontal="center" vertical="center" shrinkToFit="1"/>
    </xf>
    <xf numFmtId="0" fontId="33" fillId="14" borderId="11" xfId="0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178" fontId="13" fillId="2" borderId="38" xfId="0" applyNumberFormat="1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 shrinkToFit="1"/>
    </xf>
    <xf numFmtId="178" fontId="13" fillId="2" borderId="36" xfId="0" applyNumberFormat="1" applyFont="1" applyFill="1" applyBorder="1" applyAlignment="1">
      <alignment horizontal="center" vertical="center" shrinkToFit="1"/>
    </xf>
    <xf numFmtId="178" fontId="13" fillId="2" borderId="13" xfId="0" applyNumberFormat="1" applyFont="1" applyFill="1" applyBorder="1" applyAlignment="1">
      <alignment horizontal="center" vertical="center" shrinkToFit="1"/>
    </xf>
    <xf numFmtId="178" fontId="13" fillId="2" borderId="14" xfId="0" applyNumberFormat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16" fillId="3" borderId="1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8" xfId="0" applyFont="1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19" fillId="4" borderId="15" xfId="0" applyFont="1" applyFill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0" fillId="4" borderId="17" xfId="0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16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0" fillId="0" borderId="37" xfId="0" applyBorder="1" applyAlignment="1">
      <alignment vertical="center" textRotation="255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 shrinkToFit="1"/>
    </xf>
    <xf numFmtId="0" fontId="19" fillId="4" borderId="17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shrinkToFit="1"/>
    </xf>
    <xf numFmtId="0" fontId="29" fillId="4" borderId="17" xfId="0" applyFont="1" applyFill="1" applyBorder="1" applyAlignment="1">
      <alignment horizontal="center" vertical="center" shrinkToFit="1"/>
    </xf>
    <xf numFmtId="0" fontId="29" fillId="4" borderId="18" xfId="0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11" borderId="0" xfId="0" applyFont="1" applyFill="1" applyAlignment="1">
      <alignment horizontal="left" vertical="center" wrapText="1"/>
    </xf>
    <xf numFmtId="0" fontId="0" fillId="11" borderId="0" xfId="0" applyFont="1" applyFill="1" applyAlignment="1">
      <alignment horizontal="left" vertical="center" wrapText="1"/>
    </xf>
    <xf numFmtId="0" fontId="21" fillId="12" borderId="0" xfId="0" applyFont="1" applyFill="1" applyAlignment="1">
      <alignment horizontal="left" vertical="center" wrapText="1"/>
    </xf>
    <xf numFmtId="0" fontId="26" fillId="11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5" xfId="0" applyFill="1" applyBorder="1" applyAlignment="1">
      <alignment vertical="center" textRotation="255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29" fillId="4" borderId="15" xfId="0" applyFont="1" applyFill="1" applyBorder="1" applyAlignment="1">
      <alignment horizontal="center" vertical="center" shrinkToFit="1"/>
    </xf>
    <xf numFmtId="0" fontId="1" fillId="4" borderId="16" xfId="0" applyFont="1" applyFill="1" applyBorder="1" applyAlignment="1">
      <alignment horizontal="center" vertical="center" shrinkToFit="1"/>
    </xf>
  </cellXfs>
  <cellStyles count="10">
    <cellStyle name="一般" xfId="0" builtinId="0"/>
    <cellStyle name="一般 2" xfId="2"/>
    <cellStyle name="一般 2 2" xfId="5"/>
    <cellStyle name="一般 3" xfId="6"/>
    <cellStyle name="一般 4" xfId="7"/>
    <cellStyle name="一般_東平小11月份菜單(改)" xfId="1"/>
    <cellStyle name="一般_新光國小-8.9月菜單" xfId="4"/>
    <cellStyle name="好_新平國小107年9月菜單(貝佳)" xfId="8"/>
    <cellStyle name="百分比 2" xfId="3"/>
    <cellStyle name="貨幣 2" xfId="9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156881</xdr:colOff>
      <xdr:row>0</xdr:row>
      <xdr:rowOff>48884</xdr:rowOff>
    </xdr:from>
    <xdr:to>
      <xdr:col>10</xdr:col>
      <xdr:colOff>1311085</xdr:colOff>
      <xdr:row>0</xdr:row>
      <xdr:rowOff>1290295</xdr:rowOff>
    </xdr:to>
    <xdr:grpSp>
      <xdr:nvGrpSpPr>
        <xdr:cNvPr id="2" name="群組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56881" y="48884"/>
          <a:ext cx="12595410" cy="1241411"/>
          <a:chOff x="14203966" y="2094599"/>
          <a:chExt cx="12323682" cy="864943"/>
        </a:xfrm>
      </xdr:grpSpPr>
      <xdr:sp macro="" textlink="">
        <xdr:nvSpPr>
          <xdr:cNvPr id="3" name="矩形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4203966" y="2138615"/>
            <a:ext cx="3918034" cy="820927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spAutoFit/>
          </a:bodyPr>
          <a:lstStyle/>
          <a:p>
            <a:pPr algn="l"/>
            <a:r>
              <a:rPr lang="zh-TW" altLang="en-US" sz="2400" b="0" cap="none" spc="300">
                <a:ln w="11430" cmpd="sng">
                  <a:solidFill>
                    <a:schemeClr val="accent1">
                      <a:tint val="10000"/>
                    </a:schemeClr>
                  </a:solidFill>
                  <a:prstDash val="solid"/>
                  <a:miter lim="800000"/>
                </a:ln>
                <a:gradFill>
                  <a:gsLst>
                    <a:gs pos="10000">
                      <a:schemeClr val="accent1">
                        <a:tint val="83000"/>
                        <a:shade val="100000"/>
                        <a:satMod val="200000"/>
                      </a:schemeClr>
                    </a:gs>
                    <a:gs pos="75000">
                      <a:schemeClr val="accent1">
                        <a:tint val="100000"/>
                        <a:shade val="50000"/>
                        <a:satMod val="150000"/>
                      </a:schemeClr>
                    </a:gs>
                  </a:gsLst>
                  <a:lin ang="5400000"/>
                </a:gradFill>
                <a:effectLst>
                  <a:glow rad="45500">
                    <a:schemeClr val="accent1">
                      <a:satMod val="220000"/>
                      <a:alpha val="35000"/>
                    </a:schemeClr>
                  </a:glow>
                </a:effectLst>
                <a:latin typeface="華康超圓體(P)" pitchFamily="34" charset="-120"/>
                <a:ea typeface="華康超圓體(P)" pitchFamily="34" charset="-120"/>
              </a:rPr>
              <a:t>興大附農</a:t>
            </a:r>
          </a:p>
        </xdr:txBody>
      </xdr:sp>
      <xdr:sp macro="" textlink="">
        <xdr:nvSpPr>
          <xdr:cNvPr id="4" name="矩形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9181593" y="2157290"/>
            <a:ext cx="4168068" cy="406037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no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zh-TW" altLang="en-US" sz="1800" b="0" cap="none" spc="50">
                <a:ln w="11430">
                  <a:solidFill>
                    <a:schemeClr val="tx1"/>
                  </a:solidFill>
                </a:ln>
                <a:solidFill>
                  <a:srgbClr val="FF0000"/>
                </a:solidFill>
                <a:effectLst/>
                <a:latin typeface="華康超圓體(P)" pitchFamily="34" charset="-120"/>
                <a:ea typeface="華康超圓體(P)" pitchFamily="34" charset="-120"/>
              </a:rPr>
              <a:t>貝佳實業有限公司</a:t>
            </a:r>
            <a:endParaRPr lang="zh-TW" altLang="en-US" sz="18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endParaRPr>
          </a:p>
        </xdr:txBody>
      </xdr:sp>
      <xdr:pic>
        <xdr:nvPicPr>
          <xdr:cNvPr id="5" name="圖片 4" descr="HACCP.pn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4157436" y="2094599"/>
            <a:ext cx="745926" cy="398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圖片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204164" y="2161696"/>
            <a:ext cx="1323484" cy="584688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7" name="圖片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932" t="6356" r="4662" b="7627"/>
          <a:stretch/>
        </xdr:blipFill>
        <xdr:spPr>
          <a:xfrm>
            <a:off x="24295990" y="2502706"/>
            <a:ext cx="756369" cy="4549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493058</xdr:colOff>
      <xdr:row>0</xdr:row>
      <xdr:rowOff>816688</xdr:rowOff>
    </xdr:from>
    <xdr:to>
      <xdr:col>9</xdr:col>
      <xdr:colOff>235323</xdr:colOff>
      <xdr:row>0</xdr:row>
      <xdr:rowOff>1350480</xdr:rowOff>
    </xdr:to>
    <xdr:sp macro="" textlink="">
      <xdr:nvSpPr>
        <xdr:cNvPr id="8" name="矩形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4381499" y="816688"/>
          <a:ext cx="5916706" cy="533792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>
              <a:gd name="adj" fmla="val 49621"/>
            </a:avLst>
          </a:prstTxWarp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109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年</a:t>
          </a:r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7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月午餐菜單</a:t>
          </a:r>
        </a:p>
      </xdr:txBody>
    </xdr:sp>
    <xdr:clientData/>
  </xdr:twoCellAnchor>
  <xdr:twoCellAnchor>
    <xdr:from>
      <xdr:col>11</xdr:col>
      <xdr:colOff>0</xdr:colOff>
      <xdr:row>3</xdr:row>
      <xdr:rowOff>134470</xdr:rowOff>
    </xdr:from>
    <xdr:to>
      <xdr:col>11</xdr:col>
      <xdr:colOff>11205</xdr:colOff>
      <xdr:row>6</xdr:row>
      <xdr:rowOff>123265</xdr:rowOff>
    </xdr:to>
    <xdr:sp macro="" textlink="">
      <xdr:nvSpPr>
        <xdr:cNvPr id="9" name="文字方塊 8"/>
        <xdr:cNvSpPr txBox="1"/>
      </xdr:nvSpPr>
      <xdr:spPr>
        <a:xfrm>
          <a:off x="8410575" y="1982320"/>
          <a:ext cx="11205" cy="846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3200">
              <a:solidFill>
                <a:srgbClr val="00B0F0"/>
              </a:solidFill>
              <a:latin typeface="華康海報體W12(P)" panose="040B0C00000000000000" pitchFamily="82" charset="-120"/>
              <a:ea typeface="華康海報體W12(P)" panose="040B0C00000000000000" pitchFamily="82" charset="-120"/>
            </a:rPr>
            <a:t>放假囉</a:t>
          </a:r>
          <a:r>
            <a:rPr lang="en-US" altLang="zh-TW" sz="3200">
              <a:solidFill>
                <a:srgbClr val="00B0F0"/>
              </a:solidFill>
              <a:latin typeface="華康海報體W12(P)" panose="040B0C00000000000000" pitchFamily="82" charset="-120"/>
              <a:ea typeface="華康海報體W12(P)" panose="040B0C00000000000000" pitchFamily="82" charset="-120"/>
            </a:rPr>
            <a:t>!</a:t>
          </a:r>
          <a:endParaRPr lang="zh-TW" altLang="en-US" sz="3200">
            <a:solidFill>
              <a:srgbClr val="00B0F0"/>
            </a:solidFill>
            <a:latin typeface="華康海報體W12(P)" panose="040B0C00000000000000" pitchFamily="82" charset="-120"/>
            <a:ea typeface="華康海報體W12(P)" panose="040B0C00000000000000" pitchFamily="82" charset="-120"/>
          </a:endParaRPr>
        </a:p>
      </xdr:txBody>
    </xdr:sp>
    <xdr:clientData/>
  </xdr:twoCellAnchor>
  <xdr:twoCellAnchor editAs="oneCell">
    <xdr:from>
      <xdr:col>0</xdr:col>
      <xdr:colOff>33618</xdr:colOff>
      <xdr:row>15</xdr:row>
      <xdr:rowOff>257736</xdr:rowOff>
    </xdr:from>
    <xdr:to>
      <xdr:col>1</xdr:col>
      <xdr:colOff>405093</xdr:colOff>
      <xdr:row>17</xdr:row>
      <xdr:rowOff>261533</xdr:rowOff>
    </xdr:to>
    <xdr:pic>
      <xdr:nvPicPr>
        <xdr:cNvPr id="10" name="圖片 137" descr="Facebook 推出超可愛「小小兵」免費貼圖@ ifans 林小旭:: 痞客邦::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2" t="2283" r="31271" b="62196"/>
        <a:stretch>
          <a:fillRect/>
        </a:stretch>
      </xdr:blipFill>
      <xdr:spPr bwMode="auto">
        <a:xfrm>
          <a:off x="33618" y="5446060"/>
          <a:ext cx="685240" cy="586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576604</xdr:colOff>
      <xdr:row>16</xdr:row>
      <xdr:rowOff>257736</xdr:rowOff>
    </xdr:from>
    <xdr:to>
      <xdr:col>11</xdr:col>
      <xdr:colOff>22411</xdr:colOff>
      <xdr:row>19</xdr:row>
      <xdr:rowOff>11207</xdr:rowOff>
    </xdr:to>
    <xdr:pic>
      <xdr:nvPicPr>
        <xdr:cNvPr id="11" name="圖片 136" descr="Facebook 推出超可愛「小小兵」免費貼圖@ ifans 林小旭:: 痞客邦::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31" r="68370" b="60312"/>
        <a:stretch>
          <a:fillRect/>
        </a:stretch>
      </xdr:blipFill>
      <xdr:spPr bwMode="auto">
        <a:xfrm>
          <a:off x="12017810" y="5737412"/>
          <a:ext cx="824130" cy="53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19113</xdr:colOff>
      <xdr:row>24</xdr:row>
      <xdr:rowOff>280148</xdr:rowOff>
    </xdr:from>
    <xdr:to>
      <xdr:col>1</xdr:col>
      <xdr:colOff>373778</xdr:colOff>
      <xdr:row>26</xdr:row>
      <xdr:rowOff>270623</xdr:rowOff>
    </xdr:to>
    <xdr:pic>
      <xdr:nvPicPr>
        <xdr:cNvPr id="12" name="圖片 143" descr="WeChat推迪士尼新春拜年貼圖神偷奶爸48小時免費下載| 2018瘋世足 ..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83" t="-1077" r="31868" b="77737"/>
        <a:stretch>
          <a:fillRect/>
        </a:stretch>
      </xdr:blipFill>
      <xdr:spPr bwMode="auto">
        <a:xfrm>
          <a:off x="19113" y="7933766"/>
          <a:ext cx="668430" cy="5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448235</xdr:colOff>
      <xdr:row>20</xdr:row>
      <xdr:rowOff>145675</xdr:rowOff>
    </xdr:from>
    <xdr:to>
      <xdr:col>9</xdr:col>
      <xdr:colOff>1367119</xdr:colOff>
      <xdr:row>28</xdr:row>
      <xdr:rowOff>369794</xdr:rowOff>
    </xdr:to>
    <xdr:pic>
      <xdr:nvPicPr>
        <xdr:cNvPr id="13" name="圖片 144" descr="Bello!【超人氣限量】 沖繩小小兵路跑嘉年華4日- 國外團體旅遊| 東南旅遊網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1" y="6633881"/>
          <a:ext cx="5827060" cy="246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734616</xdr:colOff>
      <xdr:row>20</xdr:row>
      <xdr:rowOff>74334</xdr:rowOff>
    </xdr:from>
    <xdr:to>
      <xdr:col>10</xdr:col>
      <xdr:colOff>1255059</xdr:colOff>
      <xdr:row>24</xdr:row>
      <xdr:rowOff>2801</xdr:rowOff>
    </xdr:to>
    <xdr:pic>
      <xdr:nvPicPr>
        <xdr:cNvPr id="14" name="圖片 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0028" y="6562540"/>
          <a:ext cx="3176237" cy="109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806326</xdr:colOff>
      <xdr:row>7</xdr:row>
      <xdr:rowOff>123264</xdr:rowOff>
    </xdr:from>
    <xdr:to>
      <xdr:col>7</xdr:col>
      <xdr:colOff>377701</xdr:colOff>
      <xdr:row>10</xdr:row>
      <xdr:rowOff>60511</xdr:rowOff>
    </xdr:to>
    <xdr:pic>
      <xdr:nvPicPr>
        <xdr:cNvPr id="15" name="圖片 142" descr="Facebook 推出超可愛「小小兵」免費貼圖@ ifans 林小旭:: 痞客邦::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 t="2283" b="62196"/>
        <a:stretch>
          <a:fillRect/>
        </a:stretch>
      </xdr:blipFill>
      <xdr:spPr bwMode="auto">
        <a:xfrm>
          <a:off x="7137650" y="3137646"/>
          <a:ext cx="747992" cy="72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246528</xdr:colOff>
      <xdr:row>2</xdr:row>
      <xdr:rowOff>280146</xdr:rowOff>
    </xdr:from>
    <xdr:to>
      <xdr:col>5</xdr:col>
      <xdr:colOff>246528</xdr:colOff>
      <xdr:row>10</xdr:row>
      <xdr:rowOff>18355</xdr:rowOff>
    </xdr:to>
    <xdr:pic>
      <xdr:nvPicPr>
        <xdr:cNvPr id="16" name="圖片 15" descr="７月の営業は変更日がございます - 名古屋のイップス治療院 野球 ...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8" y="1837764"/>
          <a:ext cx="5154706" cy="197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85" zoomScaleNormal="85" zoomScaleSheetLayoutView="85" workbookViewId="0">
      <selection activeCell="D24" sqref="D24:E24"/>
    </sheetView>
  </sheetViews>
  <sheetFormatPr defaultRowHeight="16.5" x14ac:dyDescent="0.25"/>
  <cols>
    <col min="1" max="1" width="4.125" customWidth="1"/>
    <col min="2" max="3" width="15.125" customWidth="1"/>
    <col min="4" max="5" width="16.625" customWidth="1"/>
    <col min="6" max="7" width="15.375" customWidth="1"/>
    <col min="8" max="9" width="16.75" customWidth="1"/>
    <col min="10" max="11" width="18.125" customWidth="1"/>
  </cols>
  <sheetData>
    <row r="1" spans="1:11" ht="108" customHeight="1" thickBot="1" x14ac:dyDescent="0.4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s="4" customFormat="1" ht="15" customHeight="1" x14ac:dyDescent="0.25">
      <c r="A2" s="171" t="s">
        <v>0</v>
      </c>
      <c r="B2" s="1">
        <v>44011</v>
      </c>
      <c r="C2" s="2" t="s">
        <v>1</v>
      </c>
      <c r="D2" s="3">
        <f>B2+1</f>
        <v>44012</v>
      </c>
      <c r="E2" s="2" t="s">
        <v>2</v>
      </c>
      <c r="F2" s="3">
        <f>D2+1</f>
        <v>44013</v>
      </c>
      <c r="G2" s="2" t="s">
        <v>3</v>
      </c>
      <c r="H2" s="3">
        <f>F2+1</f>
        <v>44014</v>
      </c>
      <c r="I2" s="2" t="s">
        <v>4</v>
      </c>
      <c r="J2" s="3">
        <f>H2+1</f>
        <v>44015</v>
      </c>
      <c r="K2" s="2" t="s">
        <v>5</v>
      </c>
    </row>
    <row r="3" spans="1:11" s="5" customFormat="1" ht="22.5" customHeight="1" x14ac:dyDescent="0.25">
      <c r="A3" s="172"/>
      <c r="B3" s="174"/>
      <c r="C3" s="175"/>
      <c r="D3" s="176"/>
      <c r="E3" s="177"/>
      <c r="F3" s="178" t="s">
        <v>212</v>
      </c>
      <c r="G3" s="179"/>
      <c r="H3" s="178" t="s">
        <v>220</v>
      </c>
      <c r="I3" s="179"/>
      <c r="J3" s="178" t="s">
        <v>204</v>
      </c>
      <c r="K3" s="179"/>
    </row>
    <row r="4" spans="1:11" s="5" customFormat="1" ht="22.5" customHeight="1" x14ac:dyDescent="0.25">
      <c r="A4" s="172"/>
      <c r="B4" s="180"/>
      <c r="C4" s="181"/>
      <c r="D4" s="183"/>
      <c r="E4" s="184"/>
      <c r="F4" s="185" t="s">
        <v>222</v>
      </c>
      <c r="G4" s="186"/>
      <c r="H4" s="164" t="s">
        <v>228</v>
      </c>
      <c r="I4" s="165"/>
      <c r="J4" s="164" t="s">
        <v>197</v>
      </c>
      <c r="K4" s="165"/>
    </row>
    <row r="5" spans="1:11" s="5" customFormat="1" ht="22.5" customHeight="1" x14ac:dyDescent="0.25">
      <c r="A5" s="172"/>
      <c r="B5" s="182"/>
      <c r="C5" s="181"/>
      <c r="D5" s="183"/>
      <c r="E5" s="184"/>
      <c r="F5" s="187"/>
      <c r="G5" s="188"/>
      <c r="H5" s="166"/>
      <c r="I5" s="167"/>
      <c r="J5" s="166"/>
      <c r="K5" s="167"/>
    </row>
    <row r="6" spans="1:11" s="5" customFormat="1" ht="22.5" customHeight="1" x14ac:dyDescent="0.25">
      <c r="A6" s="172"/>
      <c r="B6" s="162"/>
      <c r="C6" s="168"/>
      <c r="D6" s="168"/>
      <c r="E6" s="163"/>
      <c r="F6" s="162" t="s">
        <v>206</v>
      </c>
      <c r="G6" s="163"/>
      <c r="H6" s="162" t="s">
        <v>226</v>
      </c>
      <c r="I6" s="163"/>
      <c r="J6" s="162" t="s">
        <v>224</v>
      </c>
      <c r="K6" s="163"/>
    </row>
    <row r="7" spans="1:11" s="5" customFormat="1" ht="22.5" customHeight="1" x14ac:dyDescent="0.25">
      <c r="A7" s="172"/>
      <c r="B7" s="162"/>
      <c r="C7" s="168"/>
      <c r="D7" s="168"/>
      <c r="E7" s="163"/>
      <c r="F7" s="162" t="s">
        <v>207</v>
      </c>
      <c r="G7" s="163"/>
      <c r="H7" s="162" t="s">
        <v>227</v>
      </c>
      <c r="I7" s="163"/>
      <c r="J7" s="162" t="s">
        <v>6</v>
      </c>
      <c r="K7" s="163"/>
    </row>
    <row r="8" spans="1:11" s="5" customFormat="1" ht="22.5" customHeight="1" x14ac:dyDescent="0.25">
      <c r="A8" s="172"/>
      <c r="B8" s="189"/>
      <c r="C8" s="190"/>
      <c r="D8" s="190"/>
      <c r="E8" s="196"/>
      <c r="F8" s="189" t="s">
        <v>219</v>
      </c>
      <c r="G8" s="196"/>
      <c r="H8" s="189" t="s">
        <v>217</v>
      </c>
      <c r="I8" s="196"/>
      <c r="J8" s="189" t="s">
        <v>216</v>
      </c>
      <c r="K8" s="196"/>
    </row>
    <row r="9" spans="1:11" s="5" customFormat="1" ht="22.5" customHeight="1" thickBot="1" x14ac:dyDescent="0.3">
      <c r="A9" s="173"/>
      <c r="B9" s="197"/>
      <c r="C9" s="198"/>
      <c r="D9" s="168"/>
      <c r="E9" s="163"/>
      <c r="F9" s="162" t="s">
        <v>223</v>
      </c>
      <c r="G9" s="163"/>
      <c r="H9" s="162" t="s">
        <v>7</v>
      </c>
      <c r="I9" s="163"/>
      <c r="J9" s="162" t="s">
        <v>209</v>
      </c>
      <c r="K9" s="163"/>
    </row>
    <row r="10" spans="1:11" s="4" customFormat="1" ht="15.75" thickBot="1" x14ac:dyDescent="0.3">
      <c r="A10" s="6" t="s">
        <v>8</v>
      </c>
      <c r="B10" s="191"/>
      <c r="C10" s="192"/>
      <c r="D10" s="192"/>
      <c r="E10" s="193"/>
      <c r="F10" s="194">
        <f>'7月明細(午餐)'!W26</f>
        <v>889.6942857142858</v>
      </c>
      <c r="G10" s="195"/>
      <c r="H10" s="194">
        <f>'7月明細(午餐)'!W34</f>
        <v>895.31809523809522</v>
      </c>
      <c r="I10" s="195"/>
      <c r="J10" s="194">
        <f>'7月明細(午餐)'!W42</f>
        <v>884.984062049062</v>
      </c>
      <c r="K10" s="195"/>
    </row>
    <row r="11" spans="1:11" s="4" customFormat="1" ht="17.45" customHeight="1" x14ac:dyDescent="0.25">
      <c r="A11" s="171" t="s">
        <v>9</v>
      </c>
      <c r="B11" s="1">
        <f>J2+3</f>
        <v>44018</v>
      </c>
      <c r="C11" s="2" t="s">
        <v>10</v>
      </c>
      <c r="D11" s="3">
        <f>B11+1</f>
        <v>44019</v>
      </c>
      <c r="E11" s="2" t="s">
        <v>11</v>
      </c>
      <c r="F11" s="3">
        <f>D11+1</f>
        <v>44020</v>
      </c>
      <c r="G11" s="2" t="s">
        <v>12</v>
      </c>
      <c r="H11" s="3">
        <f>F11+1</f>
        <v>44021</v>
      </c>
      <c r="I11" s="2" t="s">
        <v>13</v>
      </c>
      <c r="J11" s="3">
        <f>H11+1</f>
        <v>44022</v>
      </c>
      <c r="K11" s="2" t="s">
        <v>14</v>
      </c>
    </row>
    <row r="12" spans="1:11" s="5" customFormat="1" ht="22.5" customHeight="1" x14ac:dyDescent="0.25">
      <c r="A12" s="172"/>
      <c r="B12" s="178" t="s">
        <v>200</v>
      </c>
      <c r="C12" s="179"/>
      <c r="D12" s="178" t="s">
        <v>204</v>
      </c>
      <c r="E12" s="179"/>
      <c r="F12" s="178" t="s">
        <v>204</v>
      </c>
      <c r="G12" s="179"/>
      <c r="H12" s="178" t="s">
        <v>220</v>
      </c>
      <c r="I12" s="179"/>
      <c r="J12" s="178" t="s">
        <v>204</v>
      </c>
      <c r="K12" s="179"/>
    </row>
    <row r="13" spans="1:11" s="5" customFormat="1" ht="22.5" customHeight="1" x14ac:dyDescent="0.25">
      <c r="A13" s="172"/>
      <c r="B13" s="164" t="s">
        <v>205</v>
      </c>
      <c r="C13" s="165"/>
      <c r="D13" s="164" t="s">
        <v>201</v>
      </c>
      <c r="E13" s="165"/>
      <c r="F13" s="185" t="s">
        <v>202</v>
      </c>
      <c r="G13" s="186"/>
      <c r="H13" s="164" t="s">
        <v>198</v>
      </c>
      <c r="I13" s="165"/>
      <c r="J13" s="164" t="s">
        <v>199</v>
      </c>
      <c r="K13" s="165"/>
    </row>
    <row r="14" spans="1:11" s="5" customFormat="1" ht="22.5" customHeight="1" x14ac:dyDescent="0.25">
      <c r="A14" s="172"/>
      <c r="B14" s="166"/>
      <c r="C14" s="167"/>
      <c r="D14" s="166"/>
      <c r="E14" s="167"/>
      <c r="F14" s="187"/>
      <c r="G14" s="188"/>
      <c r="H14" s="166"/>
      <c r="I14" s="167"/>
      <c r="J14" s="166"/>
      <c r="K14" s="167"/>
    </row>
    <row r="15" spans="1:11" s="5" customFormat="1" ht="22.5" customHeight="1" x14ac:dyDescent="0.25">
      <c r="A15" s="172"/>
      <c r="B15" s="162" t="s">
        <v>203</v>
      </c>
      <c r="C15" s="163"/>
      <c r="D15" s="162" t="s">
        <v>15</v>
      </c>
      <c r="E15" s="163"/>
      <c r="F15" s="197" t="s">
        <v>213</v>
      </c>
      <c r="G15" s="199"/>
      <c r="H15" s="162" t="s">
        <v>16</v>
      </c>
      <c r="I15" s="163"/>
      <c r="J15" s="162" t="s">
        <v>17</v>
      </c>
      <c r="K15" s="163"/>
    </row>
    <row r="16" spans="1:11" s="5" customFormat="1" ht="22.5" customHeight="1" x14ac:dyDescent="0.25">
      <c r="A16" s="172"/>
      <c r="B16" s="162" t="s">
        <v>214</v>
      </c>
      <c r="C16" s="163"/>
      <c r="D16" s="162" t="s">
        <v>230</v>
      </c>
      <c r="E16" s="163"/>
      <c r="F16" s="162" t="s">
        <v>18</v>
      </c>
      <c r="G16" s="163"/>
      <c r="H16" s="162" t="s">
        <v>231</v>
      </c>
      <c r="I16" s="163"/>
      <c r="J16" s="162" t="s">
        <v>19</v>
      </c>
      <c r="K16" s="163"/>
    </row>
    <row r="17" spans="1:11" s="5" customFormat="1" ht="22.5" customHeight="1" x14ac:dyDescent="0.25">
      <c r="A17" s="172"/>
      <c r="B17" s="189" t="s">
        <v>215</v>
      </c>
      <c r="C17" s="196"/>
      <c r="D17" s="189" t="s">
        <v>216</v>
      </c>
      <c r="E17" s="196"/>
      <c r="F17" s="189" t="s">
        <v>217</v>
      </c>
      <c r="G17" s="196"/>
      <c r="H17" s="189" t="s">
        <v>218</v>
      </c>
      <c r="I17" s="196"/>
      <c r="J17" s="189" t="s">
        <v>219</v>
      </c>
      <c r="K17" s="196"/>
    </row>
    <row r="18" spans="1:11" s="5" customFormat="1" ht="22.5" customHeight="1" thickBot="1" x14ac:dyDescent="0.3">
      <c r="A18" s="173"/>
      <c r="B18" s="197" t="s">
        <v>20</v>
      </c>
      <c r="C18" s="199"/>
      <c r="D18" s="162" t="s">
        <v>21</v>
      </c>
      <c r="E18" s="163"/>
      <c r="F18" s="162" t="s">
        <v>208</v>
      </c>
      <c r="G18" s="163"/>
      <c r="H18" s="162" t="s">
        <v>22</v>
      </c>
      <c r="I18" s="163"/>
      <c r="J18" s="162" t="s">
        <v>23</v>
      </c>
      <c r="K18" s="163"/>
    </row>
    <row r="19" spans="1:11" s="4" customFormat="1" ht="15.75" thickBot="1" x14ac:dyDescent="0.3">
      <c r="A19" s="6" t="s">
        <v>24</v>
      </c>
      <c r="B19" s="194">
        <f>'7月明細(午餐)'!W57</f>
        <v>860.38222222222225</v>
      </c>
      <c r="C19" s="195"/>
      <c r="D19" s="194">
        <f>'7月明細(午餐)'!W65</f>
        <v>892.97012321012323</v>
      </c>
      <c r="E19" s="195"/>
      <c r="F19" s="194">
        <f>'7月明細(午餐)'!W73</f>
        <v>855.68090909090915</v>
      </c>
      <c r="G19" s="195"/>
      <c r="H19" s="194">
        <f>'7月明細(午餐)'!W81</f>
        <v>885.49623376623379</v>
      </c>
      <c r="I19" s="195"/>
      <c r="J19" s="194">
        <f>'7月明細(午餐)'!W89</f>
        <v>892.23385281385276</v>
      </c>
      <c r="K19" s="195"/>
    </row>
    <row r="20" spans="1:11" s="4" customFormat="1" ht="17.45" customHeight="1" x14ac:dyDescent="0.25">
      <c r="A20" s="171" t="s">
        <v>25</v>
      </c>
      <c r="B20" s="1">
        <f>J11+3</f>
        <v>44025</v>
      </c>
      <c r="C20" s="2" t="s">
        <v>26</v>
      </c>
      <c r="D20" s="1">
        <f>B20+1</f>
        <v>44026</v>
      </c>
      <c r="E20" s="2" t="s">
        <v>27</v>
      </c>
      <c r="F20" s="161">
        <f>D20+1</f>
        <v>44027</v>
      </c>
      <c r="G20" s="2" t="s">
        <v>28</v>
      </c>
      <c r="H20" s="1">
        <f>F20+1</f>
        <v>44028</v>
      </c>
      <c r="I20" s="2" t="s">
        <v>29</v>
      </c>
      <c r="J20" s="1">
        <f>H20+1</f>
        <v>44029</v>
      </c>
      <c r="K20" s="2" t="s">
        <v>14</v>
      </c>
    </row>
    <row r="21" spans="1:11" s="5" customFormat="1" ht="22.5" customHeight="1" x14ac:dyDescent="0.25">
      <c r="A21" s="172"/>
      <c r="B21" s="178" t="s">
        <v>200</v>
      </c>
      <c r="C21" s="179"/>
      <c r="D21" s="206" t="s">
        <v>204</v>
      </c>
      <c r="E21" s="207"/>
      <c r="F21" s="175"/>
      <c r="G21" s="175"/>
      <c r="H21" s="175"/>
      <c r="I21" s="175"/>
      <c r="J21" s="176"/>
      <c r="K21" s="177"/>
    </row>
    <row r="22" spans="1:11" s="5" customFormat="1" ht="22.5" customHeight="1" x14ac:dyDescent="0.25">
      <c r="A22" s="172"/>
      <c r="B22" s="164" t="s">
        <v>221</v>
      </c>
      <c r="C22" s="165"/>
      <c r="D22" s="166" t="s">
        <v>302</v>
      </c>
      <c r="E22" s="167"/>
      <c r="F22" s="208"/>
      <c r="G22" s="209"/>
      <c r="H22" s="183"/>
      <c r="I22" s="181"/>
      <c r="J22" s="183"/>
      <c r="K22" s="200"/>
    </row>
    <row r="23" spans="1:11" s="5" customFormat="1" ht="22.5" customHeight="1" x14ac:dyDescent="0.25">
      <c r="A23" s="172"/>
      <c r="B23" s="166"/>
      <c r="C23" s="167"/>
      <c r="D23" s="166"/>
      <c r="E23" s="167"/>
      <c r="F23" s="210"/>
      <c r="G23" s="209"/>
      <c r="H23" s="201"/>
      <c r="I23" s="181"/>
      <c r="J23" s="201"/>
      <c r="K23" s="200"/>
    </row>
    <row r="24" spans="1:11" s="5" customFormat="1" ht="22.5" customHeight="1" x14ac:dyDescent="0.25">
      <c r="A24" s="172"/>
      <c r="B24" s="162" t="s">
        <v>288</v>
      </c>
      <c r="C24" s="163"/>
      <c r="D24" s="162" t="s">
        <v>210</v>
      </c>
      <c r="E24" s="163"/>
      <c r="F24" s="168"/>
      <c r="G24" s="168"/>
      <c r="H24" s="168"/>
      <c r="I24" s="168"/>
      <c r="J24" s="168"/>
      <c r="K24" s="163"/>
    </row>
    <row r="25" spans="1:11" s="5" customFormat="1" ht="22.5" customHeight="1" x14ac:dyDescent="0.25">
      <c r="A25" s="172"/>
      <c r="B25" s="162" t="s">
        <v>294</v>
      </c>
      <c r="C25" s="163"/>
      <c r="D25" s="162" t="s">
        <v>225</v>
      </c>
      <c r="E25" s="163"/>
      <c r="F25" s="168"/>
      <c r="G25" s="168"/>
      <c r="H25" s="168"/>
      <c r="I25" s="168"/>
      <c r="J25" s="168"/>
      <c r="K25" s="163"/>
    </row>
    <row r="26" spans="1:11" s="5" customFormat="1" ht="22.5" customHeight="1" x14ac:dyDescent="0.25">
      <c r="A26" s="172"/>
      <c r="B26" s="189" t="s">
        <v>217</v>
      </c>
      <c r="C26" s="196"/>
      <c r="D26" s="189" t="s">
        <v>215</v>
      </c>
      <c r="E26" s="196"/>
      <c r="F26" s="190"/>
      <c r="G26" s="190"/>
      <c r="H26" s="190"/>
      <c r="I26" s="190"/>
      <c r="J26" s="190"/>
      <c r="K26" s="196"/>
    </row>
    <row r="27" spans="1:11" s="5" customFormat="1" ht="22.5" customHeight="1" thickBot="1" x14ac:dyDescent="0.3">
      <c r="A27" s="173"/>
      <c r="B27" s="204" t="s">
        <v>30</v>
      </c>
      <c r="C27" s="205"/>
      <c r="D27" s="204" t="s">
        <v>211</v>
      </c>
      <c r="E27" s="205"/>
      <c r="F27" s="198"/>
      <c r="G27" s="198"/>
      <c r="H27" s="198"/>
      <c r="I27" s="198"/>
      <c r="J27" s="198"/>
      <c r="K27" s="199"/>
    </row>
    <row r="28" spans="1:11" s="4" customFormat="1" ht="15.75" thickBot="1" x14ac:dyDescent="0.3">
      <c r="A28" s="6" t="s">
        <v>24</v>
      </c>
      <c r="B28" s="191">
        <f>'7月明細(午餐)'!W104</f>
        <v>896.9511904761905</v>
      </c>
      <c r="C28" s="193"/>
      <c r="D28" s="191">
        <f>'7月明細(午餐)'!W112</f>
        <v>862.32402597402597</v>
      </c>
      <c r="E28" s="193"/>
      <c r="F28" s="192"/>
      <c r="G28" s="192"/>
      <c r="H28" s="192"/>
      <c r="I28" s="192"/>
      <c r="J28" s="192"/>
      <c r="K28" s="193"/>
    </row>
    <row r="29" spans="1:11" s="4" customFormat="1" ht="33.75" x14ac:dyDescent="0.4">
      <c r="A29" s="202" t="s">
        <v>31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</row>
  </sheetData>
  <mergeCells count="110">
    <mergeCell ref="A29:K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A20:A27"/>
    <mergeCell ref="B21:C21"/>
    <mergeCell ref="D21:E21"/>
    <mergeCell ref="F21:G21"/>
    <mergeCell ref="H21:I21"/>
    <mergeCell ref="J21:K21"/>
    <mergeCell ref="B22:C23"/>
    <mergeCell ref="D22:E23"/>
    <mergeCell ref="F22:G23"/>
    <mergeCell ref="H22:I23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19:C19"/>
    <mergeCell ref="D19:E19"/>
    <mergeCell ref="F19:G19"/>
    <mergeCell ref="H19:I19"/>
    <mergeCell ref="J19:K19"/>
    <mergeCell ref="J22:K23"/>
    <mergeCell ref="B24:C24"/>
    <mergeCell ref="D24:E24"/>
    <mergeCell ref="F24:G24"/>
    <mergeCell ref="H24:I24"/>
    <mergeCell ref="J24:K24"/>
    <mergeCell ref="A11:A18"/>
    <mergeCell ref="B12:C12"/>
    <mergeCell ref="D12:E12"/>
    <mergeCell ref="F12:G12"/>
    <mergeCell ref="H12:I12"/>
    <mergeCell ref="J12:K12"/>
    <mergeCell ref="B13:C14"/>
    <mergeCell ref="D13:E14"/>
    <mergeCell ref="F13:G14"/>
    <mergeCell ref="H13:I14"/>
    <mergeCell ref="B16:C16"/>
    <mergeCell ref="D16:E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D10:E10"/>
    <mergeCell ref="F10:G10"/>
    <mergeCell ref="H10:I10"/>
    <mergeCell ref="J10:K10"/>
    <mergeCell ref="J13:K14"/>
    <mergeCell ref="B15:C15"/>
    <mergeCell ref="D15:E15"/>
    <mergeCell ref="F6:G6"/>
    <mergeCell ref="H15:I15"/>
    <mergeCell ref="J15:K15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F15:G15"/>
    <mergeCell ref="F16:G16"/>
    <mergeCell ref="H4:I5"/>
    <mergeCell ref="J4:K5"/>
    <mergeCell ref="B6:C6"/>
    <mergeCell ref="D6:E6"/>
    <mergeCell ref="H6:I6"/>
    <mergeCell ref="J6:K6"/>
    <mergeCell ref="A1:K1"/>
    <mergeCell ref="A2:A9"/>
    <mergeCell ref="B3:C3"/>
    <mergeCell ref="D3:E3"/>
    <mergeCell ref="F3:G3"/>
    <mergeCell ref="H3:I3"/>
    <mergeCell ref="J3:K3"/>
    <mergeCell ref="B4:C5"/>
    <mergeCell ref="D4:E5"/>
    <mergeCell ref="F4:G5"/>
    <mergeCell ref="B7:C7"/>
    <mergeCell ref="D7:E7"/>
    <mergeCell ref="F7:G7"/>
    <mergeCell ref="H7:I7"/>
    <mergeCell ref="J7:K7"/>
    <mergeCell ref="B8:C8"/>
    <mergeCell ref="B10:C10"/>
  </mergeCells>
  <phoneticPr fontId="3" type="noConversion"/>
  <printOptions horizontalCentered="1" verticalCentered="1"/>
  <pageMargins left="0.19685039370078741" right="0.19685039370078741" top="7.874015748031496E-2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view="pageBreakPreview" topLeftCell="A85" zoomScale="90" zoomScaleNormal="70" zoomScaleSheetLayoutView="90" workbookViewId="0">
      <selection activeCell="C107" sqref="C107"/>
    </sheetView>
  </sheetViews>
  <sheetFormatPr defaultRowHeight="16.5" x14ac:dyDescent="0.25"/>
  <cols>
    <col min="1" max="1" width="3.5" style="158" customWidth="1"/>
    <col min="2" max="2" width="7.75" customWidth="1"/>
    <col min="3" max="3" width="6.375" style="156" customWidth="1"/>
    <col min="4" max="4" width="10.25" customWidth="1"/>
    <col min="5" max="5" width="6.375" style="156" customWidth="1"/>
    <col min="6" max="6" width="7.375" customWidth="1"/>
    <col min="7" max="7" width="6.375" style="156" customWidth="1"/>
    <col min="8" max="8" width="6.875" customWidth="1"/>
    <col min="9" max="9" width="6.5" style="156" customWidth="1"/>
    <col min="10" max="10" width="7.5" customWidth="1"/>
    <col min="11" max="11" width="6.625" style="156" customWidth="1"/>
    <col min="12" max="12" width="6.625" customWidth="1"/>
    <col min="13" max="13" width="6.375" style="159" customWidth="1"/>
    <col min="14" max="14" width="7.375" hidden="1" customWidth="1"/>
    <col min="15" max="15" width="18" hidden="1" customWidth="1"/>
    <col min="16" max="16" width="5.625" hidden="1" customWidth="1"/>
    <col min="17" max="17" width="4.375" hidden="1" customWidth="1"/>
    <col min="18" max="18" width="7.5" hidden="1" customWidth="1"/>
    <col min="19" max="21" width="8.875" hidden="1" customWidth="1"/>
    <col min="22" max="22" width="0" hidden="1" customWidth="1"/>
    <col min="23" max="23" width="7.375" customWidth="1"/>
    <col min="24" max="24" width="17.5" customWidth="1"/>
    <col min="25" max="25" width="6.5" customWidth="1"/>
    <col min="26" max="26" width="5.625" customWidth="1"/>
    <col min="28" max="28" width="7.625" customWidth="1"/>
    <col min="31" max="31" width="6.375" customWidth="1"/>
    <col min="32" max="32" width="5.5" customWidth="1"/>
  </cols>
  <sheetData>
    <row r="1" spans="1:30" ht="21.75" thickBot="1" x14ac:dyDescent="0.3">
      <c r="A1" s="236" t="s">
        <v>32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30" ht="35.25" thickBot="1" x14ac:dyDescent="0.3">
      <c r="A2" s="7" t="s">
        <v>33</v>
      </c>
      <c r="B2" s="8" t="s">
        <v>34</v>
      </c>
      <c r="C2" s="9" t="s">
        <v>35</v>
      </c>
      <c r="D2" s="8" t="s">
        <v>36</v>
      </c>
      <c r="E2" s="9" t="s">
        <v>35</v>
      </c>
      <c r="F2" s="8" t="s">
        <v>36</v>
      </c>
      <c r="G2" s="9" t="s">
        <v>35</v>
      </c>
      <c r="H2" s="8" t="s">
        <v>36</v>
      </c>
      <c r="I2" s="9" t="s">
        <v>35</v>
      </c>
      <c r="J2" s="8" t="s">
        <v>37</v>
      </c>
      <c r="K2" s="9" t="s">
        <v>35</v>
      </c>
      <c r="L2" s="8" t="s">
        <v>38</v>
      </c>
      <c r="M2" s="9" t="s">
        <v>35</v>
      </c>
      <c r="N2" s="9" t="s">
        <v>39</v>
      </c>
      <c r="O2" s="211" t="s">
        <v>40</v>
      </c>
      <c r="P2" s="212"/>
      <c r="Q2" s="212"/>
      <c r="R2" s="212"/>
      <c r="S2" s="212"/>
      <c r="T2" s="212"/>
      <c r="U2" s="213"/>
      <c r="W2" s="9" t="s">
        <v>39</v>
      </c>
      <c r="X2" s="211" t="s">
        <v>40</v>
      </c>
      <c r="Y2" s="212"/>
      <c r="Z2" s="212"/>
      <c r="AA2" s="212"/>
      <c r="AB2" s="212"/>
      <c r="AC2" s="212"/>
      <c r="AD2" s="213"/>
    </row>
    <row r="3" spans="1:30" ht="16.149999999999999" customHeight="1" thickBot="1" x14ac:dyDescent="0.3">
      <c r="A3" s="214">
        <v>44011</v>
      </c>
      <c r="B3" s="216"/>
      <c r="C3" s="217"/>
      <c r="D3" s="218"/>
      <c r="E3" s="217"/>
      <c r="F3" s="219"/>
      <c r="G3" s="220"/>
      <c r="H3" s="216"/>
      <c r="I3" s="221"/>
      <c r="J3" s="216"/>
      <c r="K3" s="222"/>
      <c r="L3" s="223"/>
      <c r="M3" s="224"/>
      <c r="N3" s="10" t="s">
        <v>43</v>
      </c>
      <c r="O3" s="11" t="s">
        <v>44</v>
      </c>
      <c r="P3" s="12">
        <f>C4/65+G4/55+G5/90+K4/20+M4/20+M5/20</f>
        <v>0</v>
      </c>
      <c r="Q3" s="13" t="s">
        <v>45</v>
      </c>
      <c r="R3" s="14" t="s">
        <v>46</v>
      </c>
      <c r="S3" s="15">
        <f>P9</f>
        <v>112.5</v>
      </c>
      <c r="T3" s="13" t="s">
        <v>47</v>
      </c>
      <c r="U3" s="16" t="s">
        <v>48</v>
      </c>
      <c r="W3" s="10" t="s">
        <v>43</v>
      </c>
      <c r="X3" s="225" t="s">
        <v>49</v>
      </c>
      <c r="Y3" s="226"/>
      <c r="Z3" s="227"/>
      <c r="AA3" s="228" t="s">
        <v>50</v>
      </c>
      <c r="AB3" s="229"/>
      <c r="AC3" s="229"/>
      <c r="AD3" s="230"/>
    </row>
    <row r="4" spans="1:30" ht="16.149999999999999" customHeight="1" x14ac:dyDescent="0.25">
      <c r="A4" s="215"/>
      <c r="B4" s="17"/>
      <c r="C4" s="18"/>
      <c r="D4" s="19"/>
      <c r="E4" s="20"/>
      <c r="F4" s="21"/>
      <c r="G4" s="20"/>
      <c r="H4" s="22"/>
      <c r="I4" s="23"/>
      <c r="J4" s="24"/>
      <c r="K4" s="25"/>
      <c r="L4" s="24"/>
      <c r="M4" s="25"/>
      <c r="N4" s="26">
        <f>S4</f>
        <v>0</v>
      </c>
      <c r="O4" s="27" t="s">
        <v>55</v>
      </c>
      <c r="P4" s="28">
        <f>C6/55+E4/50+E5/35+K7/35</f>
        <v>0</v>
      </c>
      <c r="Q4" s="29" t="s">
        <v>45</v>
      </c>
      <c r="R4" s="30" t="s">
        <v>56</v>
      </c>
      <c r="S4" s="31">
        <f>P3*15+P5*5+P6*15+P7*12</f>
        <v>0</v>
      </c>
      <c r="T4" s="29" t="s">
        <v>57</v>
      </c>
      <c r="U4" s="32">
        <f>S4*4/S3</f>
        <v>0</v>
      </c>
      <c r="W4" s="26">
        <f>AB5</f>
        <v>0</v>
      </c>
      <c r="X4" s="33" t="s">
        <v>44</v>
      </c>
      <c r="Y4" s="12">
        <f>M4/20+M5/20+G4/55</f>
        <v>0</v>
      </c>
      <c r="Z4" s="13" t="s">
        <v>45</v>
      </c>
      <c r="AA4" s="14" t="s">
        <v>46</v>
      </c>
      <c r="AB4" s="15">
        <f>Y10</f>
        <v>108</v>
      </c>
      <c r="AC4" s="13" t="s">
        <v>47</v>
      </c>
      <c r="AD4" s="16" t="s">
        <v>48</v>
      </c>
    </row>
    <row r="5" spans="1:30" ht="16.149999999999999" customHeight="1" x14ac:dyDescent="0.25">
      <c r="A5" s="215"/>
      <c r="B5" s="36"/>
      <c r="C5" s="37"/>
      <c r="D5" s="38"/>
      <c r="E5" s="20"/>
      <c r="F5" s="39"/>
      <c r="G5" s="40"/>
      <c r="H5" s="41"/>
      <c r="I5" s="42"/>
      <c r="J5" s="41"/>
      <c r="K5" s="43"/>
      <c r="L5" s="44"/>
      <c r="M5" s="45"/>
      <c r="N5" s="46" t="s">
        <v>62</v>
      </c>
      <c r="O5" s="47" t="s">
        <v>63</v>
      </c>
      <c r="P5" s="28">
        <f>(C5+I4+K5+K6+K8)/100</f>
        <v>0</v>
      </c>
      <c r="Q5" s="29" t="s">
        <v>45</v>
      </c>
      <c r="R5" s="30" t="s">
        <v>64</v>
      </c>
      <c r="S5" s="31">
        <f>P4*5+P7*4+P8*5</f>
        <v>12.5</v>
      </c>
      <c r="T5" s="29" t="s">
        <v>57</v>
      </c>
      <c r="U5" s="32">
        <f>S5*9/S3</f>
        <v>1</v>
      </c>
      <c r="W5" s="46" t="s">
        <v>62</v>
      </c>
      <c r="X5" s="27" t="s">
        <v>55</v>
      </c>
      <c r="Y5" s="28">
        <f>C4/55+E4/50</f>
        <v>0</v>
      </c>
      <c r="Z5" s="29" t="s">
        <v>45</v>
      </c>
      <c r="AA5" s="30" t="s">
        <v>56</v>
      </c>
      <c r="AB5" s="31">
        <f>Y4*15+Y6*5+Y7*15+Y8*12</f>
        <v>0</v>
      </c>
      <c r="AC5" s="29" t="s">
        <v>57</v>
      </c>
      <c r="AD5" s="32">
        <f>AB5*4/AB4</f>
        <v>0</v>
      </c>
    </row>
    <row r="6" spans="1:30" ht="16.149999999999999" customHeight="1" x14ac:dyDescent="0.25">
      <c r="A6" s="215"/>
      <c r="B6" s="44"/>
      <c r="C6" s="37"/>
      <c r="D6" s="50"/>
      <c r="E6" s="43"/>
      <c r="F6" s="51"/>
      <c r="G6" s="52"/>
      <c r="H6" s="53"/>
      <c r="I6" s="43"/>
      <c r="J6" s="54"/>
      <c r="K6" s="55"/>
      <c r="L6" s="56"/>
      <c r="M6" s="45"/>
      <c r="N6" s="26">
        <f>S5</f>
        <v>12.5</v>
      </c>
      <c r="O6" s="57" t="s">
        <v>67</v>
      </c>
      <c r="P6" s="58">
        <v>0</v>
      </c>
      <c r="Q6" s="29" t="s">
        <v>45</v>
      </c>
      <c r="R6" s="30" t="s">
        <v>68</v>
      </c>
      <c r="S6" s="31">
        <f>P3*2+P4*7+P5*1+P7*8</f>
        <v>0</v>
      </c>
      <c r="T6" s="29" t="s">
        <v>57</v>
      </c>
      <c r="U6" s="32">
        <f>S6*4/S3</f>
        <v>0</v>
      </c>
      <c r="W6" s="26">
        <f>AB6</f>
        <v>12</v>
      </c>
      <c r="X6" s="47" t="s">
        <v>63</v>
      </c>
      <c r="Y6" s="28">
        <f>(C5+E5+E6+E7+I4+K4)/100</f>
        <v>0</v>
      </c>
      <c r="Z6" s="29" t="s">
        <v>45</v>
      </c>
      <c r="AA6" s="30" t="s">
        <v>64</v>
      </c>
      <c r="AB6" s="31">
        <f>Y5*5+Y8*4+Y9*5</f>
        <v>12</v>
      </c>
      <c r="AC6" s="29" t="s">
        <v>57</v>
      </c>
      <c r="AD6" s="32">
        <f>AB6*9/AB4</f>
        <v>1</v>
      </c>
    </row>
    <row r="7" spans="1:30" ht="16.149999999999999" customHeight="1" x14ac:dyDescent="0.25">
      <c r="A7" s="215"/>
      <c r="B7" s="41"/>
      <c r="C7" s="37"/>
      <c r="D7" s="50"/>
      <c r="E7" s="42"/>
      <c r="F7" s="59"/>
      <c r="G7" s="60"/>
      <c r="H7" s="53"/>
      <c r="I7" s="43"/>
      <c r="J7" s="41"/>
      <c r="K7" s="45"/>
      <c r="L7" s="51"/>
      <c r="M7" s="52"/>
      <c r="N7" s="46" t="s">
        <v>70</v>
      </c>
      <c r="O7" s="61" t="s">
        <v>71</v>
      </c>
      <c r="P7" s="58">
        <v>0</v>
      </c>
      <c r="Q7" s="29" t="s">
        <v>45</v>
      </c>
      <c r="R7" s="62"/>
      <c r="S7" s="62"/>
      <c r="T7" s="62"/>
      <c r="U7" s="63">
        <f>SUM(U4:U6)</f>
        <v>1</v>
      </c>
      <c r="W7" s="46" t="s">
        <v>70</v>
      </c>
      <c r="X7" s="61" t="s">
        <v>67</v>
      </c>
      <c r="Y7" s="58">
        <v>0</v>
      </c>
      <c r="Z7" s="29" t="s">
        <v>45</v>
      </c>
      <c r="AA7" s="30" t="s">
        <v>68</v>
      </c>
      <c r="AB7" s="31">
        <f>Y4*2+Y5*7+Y6*1+Y8*8</f>
        <v>0</v>
      </c>
      <c r="AC7" s="29" t="s">
        <v>57</v>
      </c>
      <c r="AD7" s="32">
        <f>AB7*4/AB4</f>
        <v>0</v>
      </c>
    </row>
    <row r="8" spans="1:30" ht="16.149999999999999" customHeight="1" x14ac:dyDescent="0.25">
      <c r="A8" s="215" t="s">
        <v>72</v>
      </c>
      <c r="B8" s="59"/>
      <c r="C8" s="60"/>
      <c r="D8" s="64"/>
      <c r="E8" s="60"/>
      <c r="F8" s="56"/>
      <c r="G8" s="45"/>
      <c r="H8" s="53"/>
      <c r="I8" s="43"/>
      <c r="J8" s="53"/>
      <c r="K8" s="45"/>
      <c r="L8" s="53"/>
      <c r="M8" s="45"/>
      <c r="N8" s="26">
        <f>S6</f>
        <v>0</v>
      </c>
      <c r="O8" s="65" t="s">
        <v>73</v>
      </c>
      <c r="P8" s="58">
        <v>2.5</v>
      </c>
      <c r="Q8" s="29" t="s">
        <v>45</v>
      </c>
      <c r="R8" s="66"/>
      <c r="S8" s="66"/>
      <c r="T8" s="66"/>
      <c r="U8" s="67"/>
      <c r="W8" s="26">
        <f>AB7</f>
        <v>0</v>
      </c>
      <c r="X8" s="61" t="s">
        <v>71</v>
      </c>
      <c r="Y8" s="58">
        <v>0</v>
      </c>
      <c r="Z8" s="29" t="s">
        <v>45</v>
      </c>
      <c r="AA8" s="62"/>
      <c r="AB8" s="62"/>
      <c r="AC8" s="62"/>
      <c r="AD8" s="63">
        <f>SUM(AD5:AD7)</f>
        <v>1</v>
      </c>
    </row>
    <row r="9" spans="1:30" ht="16.149999999999999" customHeight="1" thickBot="1" x14ac:dyDescent="0.3">
      <c r="A9" s="215"/>
      <c r="B9" s="56"/>
      <c r="C9" s="45"/>
      <c r="D9" s="64"/>
      <c r="E9" s="60"/>
      <c r="F9" s="56"/>
      <c r="G9" s="45"/>
      <c r="H9" s="53"/>
      <c r="I9" s="43"/>
      <c r="J9" s="53"/>
      <c r="K9" s="43"/>
      <c r="L9" s="56"/>
      <c r="M9" s="45"/>
      <c r="N9" s="46" t="s">
        <v>74</v>
      </c>
      <c r="O9" s="68" t="s">
        <v>75</v>
      </c>
      <c r="P9" s="69">
        <f>P3*68+P4*73+P5*24+P6*60+P7*112+P8*45</f>
        <v>112.5</v>
      </c>
      <c r="Q9" s="70" t="s">
        <v>47</v>
      </c>
      <c r="R9" s="71"/>
      <c r="S9" s="71"/>
      <c r="T9" s="71"/>
      <c r="U9" s="72"/>
      <c r="W9" s="46" t="s">
        <v>74</v>
      </c>
      <c r="X9" s="65" t="s">
        <v>73</v>
      </c>
      <c r="Y9" s="58">
        <v>2.4</v>
      </c>
      <c r="Z9" s="29" t="s">
        <v>45</v>
      </c>
      <c r="AA9" s="66"/>
      <c r="AB9" s="66"/>
      <c r="AC9" s="66"/>
      <c r="AD9" s="67"/>
    </row>
    <row r="10" spans="1:30" ht="16.149999999999999" customHeight="1" thickBot="1" x14ac:dyDescent="0.3">
      <c r="A10" s="231"/>
      <c r="B10" s="232"/>
      <c r="C10" s="233"/>
      <c r="D10" s="234"/>
      <c r="E10" s="235"/>
      <c r="F10" s="232"/>
      <c r="G10" s="233"/>
      <c r="H10" s="232"/>
      <c r="I10" s="233"/>
      <c r="J10" s="232"/>
      <c r="K10" s="233"/>
      <c r="L10" s="232"/>
      <c r="M10" s="233"/>
      <c r="N10" s="73">
        <f>P9</f>
        <v>112.5</v>
      </c>
      <c r="O10" s="74"/>
      <c r="P10" s="75"/>
      <c r="Q10" s="75"/>
      <c r="R10" s="75"/>
      <c r="S10" s="75"/>
      <c r="T10" s="75"/>
      <c r="U10" s="76"/>
      <c r="W10" s="73">
        <f>Y10</f>
        <v>108</v>
      </c>
      <c r="X10" s="68" t="s">
        <v>75</v>
      </c>
      <c r="Y10" s="69">
        <f>Y4*68+Y5*73+Y6*24+Y7*60+Y8*112+Y9*45</f>
        <v>108</v>
      </c>
      <c r="Z10" s="70" t="s">
        <v>47</v>
      </c>
      <c r="AA10" s="71"/>
      <c r="AB10" s="71"/>
      <c r="AC10" s="71"/>
      <c r="AD10" s="72"/>
    </row>
    <row r="11" spans="1:30" ht="16.149999999999999" customHeight="1" thickBot="1" x14ac:dyDescent="0.3">
      <c r="A11" s="214">
        <f>A3+1</f>
        <v>44012</v>
      </c>
      <c r="B11" s="219"/>
      <c r="C11" s="220"/>
      <c r="D11" s="219"/>
      <c r="E11" s="220"/>
      <c r="F11" s="238"/>
      <c r="G11" s="220"/>
      <c r="H11" s="216"/>
      <c r="I11" s="221"/>
      <c r="J11" s="219"/>
      <c r="K11" s="220"/>
      <c r="L11" s="239"/>
      <c r="M11" s="217"/>
      <c r="N11" s="10" t="s">
        <v>43</v>
      </c>
      <c r="O11" s="225" t="s">
        <v>49</v>
      </c>
      <c r="P11" s="226"/>
      <c r="Q11" s="227"/>
      <c r="R11" s="228" t="s">
        <v>50</v>
      </c>
      <c r="S11" s="229"/>
      <c r="T11" s="229"/>
      <c r="U11" s="230"/>
      <c r="W11" s="10" t="s">
        <v>43</v>
      </c>
      <c r="X11" s="225" t="s">
        <v>49</v>
      </c>
      <c r="Y11" s="226"/>
      <c r="Z11" s="227"/>
      <c r="AA11" s="228" t="s">
        <v>50</v>
      </c>
      <c r="AB11" s="229"/>
      <c r="AC11" s="229"/>
      <c r="AD11" s="230"/>
    </row>
    <row r="12" spans="1:30" ht="16.149999999999999" customHeight="1" x14ac:dyDescent="0.25">
      <c r="A12" s="215"/>
      <c r="B12" s="22"/>
      <c r="C12" s="20"/>
      <c r="D12" s="17"/>
      <c r="E12" s="18"/>
      <c r="F12" s="21"/>
      <c r="G12" s="40"/>
      <c r="H12" s="22"/>
      <c r="I12" s="23"/>
      <c r="J12" s="77"/>
      <c r="K12" s="78"/>
      <c r="L12" s="56"/>
      <c r="M12" s="25"/>
      <c r="N12" s="26" t="e">
        <f>S13</f>
        <v>#REF!</v>
      </c>
      <c r="O12" s="11" t="s">
        <v>44</v>
      </c>
      <c r="P12" s="58">
        <f>G12/20+M12/20+M13/55</f>
        <v>0</v>
      </c>
      <c r="Q12" s="13" t="s">
        <v>45</v>
      </c>
      <c r="R12" s="79" t="s">
        <v>46</v>
      </c>
      <c r="S12" s="80" t="e">
        <f>P18</f>
        <v>#REF!</v>
      </c>
      <c r="T12" s="81" t="s">
        <v>47</v>
      </c>
      <c r="U12" s="82" t="s">
        <v>48</v>
      </c>
      <c r="W12" s="26">
        <f>AB13</f>
        <v>0</v>
      </c>
      <c r="X12" s="11" t="s">
        <v>44</v>
      </c>
      <c r="Y12" s="12">
        <f>M12/20+M13/20</f>
        <v>0</v>
      </c>
      <c r="Z12" s="13" t="s">
        <v>45</v>
      </c>
      <c r="AA12" s="79" t="s">
        <v>46</v>
      </c>
      <c r="AB12" s="80">
        <f>Y18</f>
        <v>108</v>
      </c>
      <c r="AC12" s="81" t="s">
        <v>47</v>
      </c>
      <c r="AD12" s="82" t="s">
        <v>48</v>
      </c>
    </row>
    <row r="13" spans="1:30" ht="16.149999999999999" customHeight="1" x14ac:dyDescent="0.25">
      <c r="A13" s="215"/>
      <c r="B13" s="83"/>
      <c r="C13" s="84"/>
      <c r="D13" s="44"/>
      <c r="E13" s="37"/>
      <c r="F13" s="39"/>
      <c r="G13" s="40"/>
      <c r="H13" s="41"/>
      <c r="I13" s="42"/>
      <c r="J13" s="85"/>
      <c r="K13" s="20"/>
      <c r="L13" s="56"/>
      <c r="M13" s="45"/>
      <c r="N13" s="46" t="s">
        <v>62</v>
      </c>
      <c r="O13" s="27" t="s">
        <v>55</v>
      </c>
      <c r="P13" s="28" t="e">
        <f>C12/35+G15/35+E15/55+#REF!*0.65/35</f>
        <v>#REF!</v>
      </c>
      <c r="Q13" s="29" t="s">
        <v>45</v>
      </c>
      <c r="R13" s="30" t="s">
        <v>56</v>
      </c>
      <c r="S13" s="31" t="e">
        <f>P12*15+P14*5+P15*15+P16*12</f>
        <v>#REF!</v>
      </c>
      <c r="T13" s="29" t="s">
        <v>57</v>
      </c>
      <c r="U13" s="32" t="e">
        <f>S13*4/S12</f>
        <v>#REF!</v>
      </c>
      <c r="W13" s="46" t="s">
        <v>62</v>
      </c>
      <c r="X13" s="27" t="s">
        <v>55</v>
      </c>
      <c r="Y13" s="28">
        <f>C12/35+C16/40+E15/50+G13/55+K13*0.3/35</f>
        <v>0</v>
      </c>
      <c r="Z13" s="29" t="s">
        <v>45</v>
      </c>
      <c r="AA13" s="30" t="s">
        <v>56</v>
      </c>
      <c r="AB13" s="31">
        <f>Y12*15+Y14*5+Y15*15+Y16*12</f>
        <v>0</v>
      </c>
      <c r="AC13" s="29" t="s">
        <v>57</v>
      </c>
      <c r="AD13" s="32">
        <f>AB13*4/AB12</f>
        <v>0</v>
      </c>
    </row>
    <row r="14" spans="1:30" ht="16.149999999999999" customHeight="1" x14ac:dyDescent="0.25">
      <c r="A14" s="215"/>
      <c r="B14" s="44"/>
      <c r="C14" s="37"/>
      <c r="D14" s="44"/>
      <c r="E14" s="42"/>
      <c r="F14" s="86"/>
      <c r="G14" s="40"/>
      <c r="H14" s="53"/>
      <c r="I14" s="43"/>
      <c r="J14" s="87"/>
      <c r="K14" s="88"/>
      <c r="L14" s="89"/>
      <c r="M14" s="90"/>
      <c r="N14" s="26" t="e">
        <f>S14</f>
        <v>#REF!</v>
      </c>
      <c r="O14" s="47" t="s">
        <v>63</v>
      </c>
      <c r="P14" s="28" t="e">
        <f>(C13+G13+G14+E12+E13+E14+#REF!+I12+#REF!)/100</f>
        <v>#REF!</v>
      </c>
      <c r="Q14" s="29" t="s">
        <v>45</v>
      </c>
      <c r="R14" s="30" t="s">
        <v>64</v>
      </c>
      <c r="S14" s="31" t="e">
        <f>P13*5+P16*4+P17*5</f>
        <v>#REF!</v>
      </c>
      <c r="T14" s="29" t="s">
        <v>57</v>
      </c>
      <c r="U14" s="32" t="e">
        <f>S14*9/S12</f>
        <v>#REF!</v>
      </c>
      <c r="W14" s="26">
        <f>AB14</f>
        <v>12</v>
      </c>
      <c r="X14" s="47" t="s">
        <v>63</v>
      </c>
      <c r="Y14" s="28">
        <f>(K12+I12+G12+G13+E14+K13+G15+K15)/100</f>
        <v>0</v>
      </c>
      <c r="Z14" s="29" t="s">
        <v>45</v>
      </c>
      <c r="AA14" s="30" t="s">
        <v>64</v>
      </c>
      <c r="AB14" s="31">
        <f>Y13*5+Y16*4+Y17*5</f>
        <v>12</v>
      </c>
      <c r="AC14" s="29" t="s">
        <v>57</v>
      </c>
      <c r="AD14" s="32">
        <f>AB14*9/AB12</f>
        <v>1</v>
      </c>
    </row>
    <row r="15" spans="1:30" ht="16.149999999999999" customHeight="1" x14ac:dyDescent="0.25">
      <c r="A15" s="215"/>
      <c r="B15" s="44"/>
      <c r="C15" s="37"/>
      <c r="D15" s="44"/>
      <c r="E15" s="45"/>
      <c r="F15" s="39"/>
      <c r="G15" s="43"/>
      <c r="H15" s="53"/>
      <c r="I15" s="43"/>
      <c r="J15" s="93"/>
      <c r="K15" s="94"/>
      <c r="L15" s="89"/>
      <c r="M15" s="90"/>
      <c r="N15" s="46" t="s">
        <v>70</v>
      </c>
      <c r="O15" s="57" t="s">
        <v>67</v>
      </c>
      <c r="P15" s="58">
        <v>0</v>
      </c>
      <c r="Q15" s="29" t="s">
        <v>45</v>
      </c>
      <c r="R15" s="30" t="s">
        <v>68</v>
      </c>
      <c r="S15" s="31" t="e">
        <f>P12*2+P13*7+P14*1+P16*8</f>
        <v>#REF!</v>
      </c>
      <c r="T15" s="29" t="s">
        <v>57</v>
      </c>
      <c r="U15" s="32" t="e">
        <f>S15*4/S12</f>
        <v>#REF!</v>
      </c>
      <c r="W15" s="46" t="s">
        <v>70</v>
      </c>
      <c r="X15" s="61" t="s">
        <v>67</v>
      </c>
      <c r="Y15" s="58">
        <v>0</v>
      </c>
      <c r="Z15" s="29" t="s">
        <v>45</v>
      </c>
      <c r="AA15" s="30" t="s">
        <v>68</v>
      </c>
      <c r="AB15" s="31">
        <f>Y12*2+Y13*7+Y14*1+Y16*8</f>
        <v>0</v>
      </c>
      <c r="AC15" s="29" t="s">
        <v>57</v>
      </c>
      <c r="AD15" s="32">
        <f>AB15*4/AB12</f>
        <v>0</v>
      </c>
    </row>
    <row r="16" spans="1:30" ht="16.149999999999999" customHeight="1" x14ac:dyDescent="0.25">
      <c r="A16" s="215" t="s">
        <v>88</v>
      </c>
      <c r="B16" s="95"/>
      <c r="C16" s="60"/>
      <c r="D16" s="96"/>
      <c r="E16" s="42"/>
      <c r="F16" s="39"/>
      <c r="G16" s="45"/>
      <c r="H16" s="53"/>
      <c r="I16" s="43"/>
      <c r="J16" s="53"/>
      <c r="K16" s="45"/>
      <c r="L16" s="89"/>
      <c r="M16" s="90"/>
      <c r="N16" s="26" t="e">
        <f>S15</f>
        <v>#REF!</v>
      </c>
      <c r="O16" s="61" t="s">
        <v>71</v>
      </c>
      <c r="P16" s="58">
        <v>0</v>
      </c>
      <c r="Q16" s="29" t="s">
        <v>45</v>
      </c>
      <c r="R16" s="62"/>
      <c r="S16" s="62"/>
      <c r="T16" s="62"/>
      <c r="U16" s="63" t="e">
        <f>SUM(U13:U15)</f>
        <v>#REF!</v>
      </c>
      <c r="W16" s="26">
        <f>AB15</f>
        <v>0</v>
      </c>
      <c r="X16" s="61" t="s">
        <v>71</v>
      </c>
      <c r="Y16" s="58">
        <v>0</v>
      </c>
      <c r="Z16" s="29" t="s">
        <v>45</v>
      </c>
      <c r="AA16" s="62"/>
      <c r="AB16" s="62"/>
      <c r="AC16" s="62"/>
      <c r="AD16" s="63">
        <f>SUM(AD13:AD15)</f>
        <v>1</v>
      </c>
    </row>
    <row r="17" spans="1:30" ht="16.149999999999999" customHeight="1" x14ac:dyDescent="0.25">
      <c r="A17" s="215"/>
      <c r="B17" s="95"/>
      <c r="C17" s="60"/>
      <c r="D17" s="51"/>
      <c r="E17" s="97"/>
      <c r="F17" s="44"/>
      <c r="G17" s="37"/>
      <c r="H17" s="53"/>
      <c r="I17" s="43"/>
      <c r="J17" s="53"/>
      <c r="K17" s="43"/>
      <c r="L17" s="89"/>
      <c r="M17" s="90"/>
      <c r="N17" s="46" t="s">
        <v>74</v>
      </c>
      <c r="O17" s="65" t="s">
        <v>73</v>
      </c>
      <c r="P17" s="58">
        <v>2.5</v>
      </c>
      <c r="Q17" s="29" t="s">
        <v>45</v>
      </c>
      <c r="R17" s="66"/>
      <c r="S17" s="66"/>
      <c r="T17" s="66"/>
      <c r="U17" s="67"/>
      <c r="W17" s="46" t="s">
        <v>74</v>
      </c>
      <c r="X17" s="65" t="s">
        <v>73</v>
      </c>
      <c r="Y17" s="58">
        <v>2.4</v>
      </c>
      <c r="Z17" s="29" t="s">
        <v>45</v>
      </c>
      <c r="AA17" s="66"/>
      <c r="AB17" s="66"/>
      <c r="AC17" s="66"/>
      <c r="AD17" s="67"/>
    </row>
    <row r="18" spans="1:30" ht="16.149999999999999" customHeight="1" thickBot="1" x14ac:dyDescent="0.3">
      <c r="A18" s="231"/>
      <c r="B18" s="232"/>
      <c r="C18" s="233"/>
      <c r="D18" s="232"/>
      <c r="E18" s="233"/>
      <c r="F18" s="237"/>
      <c r="G18" s="233"/>
      <c r="H18" s="232"/>
      <c r="I18" s="233"/>
      <c r="J18" s="232"/>
      <c r="K18" s="233"/>
      <c r="L18" s="232"/>
      <c r="M18" s="233"/>
      <c r="N18" s="73" t="e">
        <f>P18</f>
        <v>#REF!</v>
      </c>
      <c r="O18" s="68" t="s">
        <v>75</v>
      </c>
      <c r="P18" s="69" t="e">
        <f>P12*68+P13*73+P14*24+P15*60+P16*112+P17*45</f>
        <v>#REF!</v>
      </c>
      <c r="Q18" s="70" t="s">
        <v>47</v>
      </c>
      <c r="R18" s="71"/>
      <c r="S18" s="71"/>
      <c r="T18" s="71"/>
      <c r="U18" s="72"/>
      <c r="W18" s="73">
        <f>Y18</f>
        <v>108</v>
      </c>
      <c r="X18" s="68" t="s">
        <v>75</v>
      </c>
      <c r="Y18" s="69">
        <f>Y12*68+Y13*73+Y14*24+Y15*60+Y16*112+Y17*45</f>
        <v>108</v>
      </c>
      <c r="Z18" s="70" t="s">
        <v>47</v>
      </c>
      <c r="AA18" s="71"/>
      <c r="AB18" s="71"/>
      <c r="AC18" s="71"/>
      <c r="AD18" s="72"/>
    </row>
    <row r="19" spans="1:30" ht="16.149999999999999" customHeight="1" thickBot="1" x14ac:dyDescent="0.3">
      <c r="A19" s="214">
        <f>A11+1</f>
        <v>44013</v>
      </c>
      <c r="B19" s="219" t="s">
        <v>234</v>
      </c>
      <c r="C19" s="220"/>
      <c r="D19" s="239" t="s">
        <v>236</v>
      </c>
      <c r="E19" s="217"/>
      <c r="F19" s="239" t="s">
        <v>91</v>
      </c>
      <c r="G19" s="217"/>
      <c r="H19" s="216" t="s">
        <v>41</v>
      </c>
      <c r="I19" s="221"/>
      <c r="J19" s="219" t="s">
        <v>278</v>
      </c>
      <c r="K19" s="220"/>
      <c r="L19" s="240" t="s">
        <v>238</v>
      </c>
      <c r="M19" s="241"/>
      <c r="N19" s="10" t="s">
        <v>43</v>
      </c>
      <c r="O19" s="225" t="s">
        <v>49</v>
      </c>
      <c r="P19" s="226"/>
      <c r="Q19" s="227"/>
      <c r="R19" s="228" t="s">
        <v>50</v>
      </c>
      <c r="S19" s="229"/>
      <c r="T19" s="229"/>
      <c r="U19" s="230"/>
      <c r="W19" s="10" t="s">
        <v>43</v>
      </c>
      <c r="X19" s="225" t="s">
        <v>49</v>
      </c>
      <c r="Y19" s="226"/>
      <c r="Z19" s="227"/>
      <c r="AA19" s="228" t="s">
        <v>50</v>
      </c>
      <c r="AB19" s="229"/>
      <c r="AC19" s="229"/>
      <c r="AD19" s="230"/>
    </row>
    <row r="20" spans="1:30" ht="16.149999999999999" customHeight="1" x14ac:dyDescent="0.25">
      <c r="A20" s="215"/>
      <c r="B20" s="41" t="s">
        <v>235</v>
      </c>
      <c r="C20" s="45">
        <v>90</v>
      </c>
      <c r="D20" s="17" t="s">
        <v>236</v>
      </c>
      <c r="E20" s="18">
        <v>30</v>
      </c>
      <c r="F20" s="98" t="s">
        <v>94</v>
      </c>
      <c r="G20" s="99">
        <v>15</v>
      </c>
      <c r="H20" s="22" t="s">
        <v>95</v>
      </c>
      <c r="I20" s="23">
        <v>120</v>
      </c>
      <c r="J20" s="77" t="s">
        <v>279</v>
      </c>
      <c r="K20" s="78">
        <v>15</v>
      </c>
      <c r="L20" s="106" t="s">
        <v>239</v>
      </c>
      <c r="M20" s="78">
        <v>120</v>
      </c>
      <c r="N20" s="26" t="e">
        <f>S21</f>
        <v>#REF!</v>
      </c>
      <c r="O20" s="11" t="s">
        <v>44</v>
      </c>
      <c r="P20" s="58">
        <f>K22/35+M20/20</f>
        <v>6</v>
      </c>
      <c r="Q20" s="13" t="s">
        <v>45</v>
      </c>
      <c r="R20" s="79" t="s">
        <v>46</v>
      </c>
      <c r="S20" s="80" t="e">
        <f>P26</f>
        <v>#REF!</v>
      </c>
      <c r="T20" s="81" t="s">
        <v>47</v>
      </c>
      <c r="U20" s="102"/>
      <c r="W20" s="26">
        <f>AB21</f>
        <v>125.64166666666667</v>
      </c>
      <c r="X20" s="11" t="s">
        <v>44</v>
      </c>
      <c r="Y20" s="12">
        <f>M20/20+E20/60+K20/20+K21/20</f>
        <v>7.75</v>
      </c>
      <c r="Z20" s="13" t="s">
        <v>45</v>
      </c>
      <c r="AA20" s="79" t="s">
        <v>46</v>
      </c>
      <c r="AB20" s="80">
        <f>Y26</f>
        <v>889.6942857142858</v>
      </c>
      <c r="AC20" s="81" t="s">
        <v>47</v>
      </c>
      <c r="AD20" s="102"/>
    </row>
    <row r="21" spans="1:30" ht="16.149999999999999" customHeight="1" x14ac:dyDescent="0.25">
      <c r="A21" s="215"/>
      <c r="B21" s="91"/>
      <c r="C21" s="92"/>
      <c r="D21" s="44"/>
      <c r="E21" s="37"/>
      <c r="F21" s="56" t="s">
        <v>97</v>
      </c>
      <c r="G21" s="45">
        <v>8</v>
      </c>
      <c r="H21" s="41"/>
      <c r="I21" s="42"/>
      <c r="J21" s="59" t="s">
        <v>280</v>
      </c>
      <c r="K21" s="60">
        <v>10</v>
      </c>
      <c r="L21" s="106" t="s">
        <v>240</v>
      </c>
      <c r="M21" s="60">
        <v>10</v>
      </c>
      <c r="N21" s="46" t="s">
        <v>62</v>
      </c>
      <c r="O21" s="27" t="s">
        <v>55</v>
      </c>
      <c r="P21" s="28">
        <f>C20*0.68/40+G37/35+G38/35+E29/15+K23/60</f>
        <v>2.3395238095238096</v>
      </c>
      <c r="Q21" s="29" t="s">
        <v>45</v>
      </c>
      <c r="R21" s="30" t="s">
        <v>56</v>
      </c>
      <c r="S21" s="31" t="e">
        <f>P20*15+P22*5+P23*15+P24*12</f>
        <v>#REF!</v>
      </c>
      <c r="T21" s="29" t="s">
        <v>57</v>
      </c>
      <c r="U21" s="32" t="e">
        <f>S21*4/S20</f>
        <v>#REF!</v>
      </c>
      <c r="W21" s="46" t="s">
        <v>62</v>
      </c>
      <c r="X21" s="27" t="s">
        <v>55</v>
      </c>
      <c r="Y21" s="28">
        <f>C20/40+G21/35+G23/40+M24/35</f>
        <v>2.8714285714285714</v>
      </c>
      <c r="Z21" s="29" t="s">
        <v>45</v>
      </c>
      <c r="AA21" s="30" t="s">
        <v>56</v>
      </c>
      <c r="AB21" s="31">
        <f>Y20*15+Y22*5+Y23*15+Y24*12</f>
        <v>125.64166666666667</v>
      </c>
      <c r="AC21" s="29" t="s">
        <v>57</v>
      </c>
      <c r="AD21" s="32">
        <f>AB21*4/AB20</f>
        <v>0.56487568228358798</v>
      </c>
    </row>
    <row r="22" spans="1:30" ht="16.149999999999999" customHeight="1" x14ac:dyDescent="0.25">
      <c r="A22" s="215"/>
      <c r="B22" s="36"/>
      <c r="C22" s="49"/>
      <c r="D22" s="44"/>
      <c r="E22" s="37"/>
      <c r="F22" s="53" t="s">
        <v>100</v>
      </c>
      <c r="G22" s="45">
        <v>2</v>
      </c>
      <c r="H22" s="53"/>
      <c r="I22" s="43"/>
      <c r="J22" s="103"/>
      <c r="K22" s="55"/>
      <c r="L22" s="106" t="s">
        <v>245</v>
      </c>
      <c r="M22" s="60">
        <v>5</v>
      </c>
      <c r="N22" s="26">
        <f>S22</f>
        <v>24.19761904761905</v>
      </c>
      <c r="O22" s="47" t="s">
        <v>63</v>
      </c>
      <c r="P22" s="28" t="e">
        <f>(G36+E28+#REF!+I20+K20+K21)/100</f>
        <v>#REF!</v>
      </c>
      <c r="Q22" s="29" t="s">
        <v>45</v>
      </c>
      <c r="R22" s="30" t="s">
        <v>64</v>
      </c>
      <c r="S22" s="31">
        <f>P21*5+P24*4+P25*5</f>
        <v>24.19761904761905</v>
      </c>
      <c r="T22" s="29" t="s">
        <v>57</v>
      </c>
      <c r="U22" s="32" t="e">
        <f>S22*9/S20</f>
        <v>#REF!</v>
      </c>
      <c r="W22" s="26">
        <f>AB22</f>
        <v>26.357142857142858</v>
      </c>
      <c r="X22" s="47" t="s">
        <v>63</v>
      </c>
      <c r="Y22" s="28">
        <f>(G20+I20+K20+M22+Y28+M23+M21+M25)/100</f>
        <v>1.8783333333333334</v>
      </c>
      <c r="Z22" s="29" t="s">
        <v>45</v>
      </c>
      <c r="AA22" s="30" t="s">
        <v>64</v>
      </c>
      <c r="AB22" s="31">
        <f>Y21*5+Y24*4+Y25*5</f>
        <v>26.357142857142858</v>
      </c>
      <c r="AC22" s="29" t="s">
        <v>57</v>
      </c>
      <c r="AD22" s="32">
        <f>AB22*9/AB20</f>
        <v>0.26662449059548543</v>
      </c>
    </row>
    <row r="23" spans="1:30" ht="16.149999999999999" customHeight="1" x14ac:dyDescent="0.25">
      <c r="A23" s="215"/>
      <c r="B23" s="44"/>
      <c r="C23" s="45"/>
      <c r="D23" s="51"/>
      <c r="E23" s="52"/>
      <c r="F23" s="56" t="s">
        <v>104</v>
      </c>
      <c r="G23" s="45">
        <v>10</v>
      </c>
      <c r="H23" s="53"/>
      <c r="I23" s="43"/>
      <c r="J23" s="105"/>
      <c r="K23" s="45"/>
      <c r="L23" s="106" t="s">
        <v>241</v>
      </c>
      <c r="M23" s="60">
        <v>10</v>
      </c>
      <c r="N23" s="46" t="s">
        <v>70</v>
      </c>
      <c r="O23" s="57" t="s">
        <v>67</v>
      </c>
      <c r="P23" s="58">
        <v>0</v>
      </c>
      <c r="Q23" s="29" t="s">
        <v>45</v>
      </c>
      <c r="R23" s="30" t="s">
        <v>68</v>
      </c>
      <c r="S23" s="31" t="e">
        <f>P20*2+P21*7+P22*1+P24*8</f>
        <v>#REF!</v>
      </c>
      <c r="T23" s="29" t="s">
        <v>57</v>
      </c>
      <c r="U23" s="32" t="e">
        <f>S23*4/S20</f>
        <v>#REF!</v>
      </c>
      <c r="W23" s="46" t="s">
        <v>70</v>
      </c>
      <c r="X23" s="61" t="s">
        <v>67</v>
      </c>
      <c r="Y23" s="58">
        <v>0</v>
      </c>
      <c r="Z23" s="29" t="s">
        <v>45</v>
      </c>
      <c r="AA23" s="30" t="s">
        <v>68</v>
      </c>
      <c r="AB23" s="31">
        <f>Y20*2+Y21*7+Y22*1+Y24*8</f>
        <v>37.478333333333332</v>
      </c>
      <c r="AC23" s="29" t="s">
        <v>57</v>
      </c>
      <c r="AD23" s="32">
        <f>AB23*4/AB20</f>
        <v>0.16849982712092648</v>
      </c>
    </row>
    <row r="24" spans="1:30" ht="16.149999999999999" customHeight="1" x14ac:dyDescent="0.25">
      <c r="A24" s="215" t="s">
        <v>106</v>
      </c>
      <c r="B24" s="56"/>
      <c r="C24" s="45"/>
      <c r="D24" s="51"/>
      <c r="E24" s="52"/>
      <c r="F24" s="44"/>
      <c r="G24" s="45"/>
      <c r="H24" s="53"/>
      <c r="I24" s="43"/>
      <c r="J24" s="106"/>
      <c r="K24" s="45"/>
      <c r="L24" s="106" t="s">
        <v>246</v>
      </c>
      <c r="M24" s="60">
        <v>5</v>
      </c>
      <c r="N24" s="26" t="e">
        <f>S23</f>
        <v>#REF!</v>
      </c>
      <c r="O24" s="61" t="s">
        <v>71</v>
      </c>
      <c r="P24" s="58">
        <v>0</v>
      </c>
      <c r="Q24" s="29" t="s">
        <v>45</v>
      </c>
      <c r="R24" s="62"/>
      <c r="S24" s="62"/>
      <c r="T24" s="62"/>
      <c r="U24" s="63" t="e">
        <f>SUM(U21:U23)</f>
        <v>#REF!</v>
      </c>
      <c r="W24" s="26">
        <f>AB23</f>
        <v>37.478333333333332</v>
      </c>
      <c r="X24" s="61" t="s">
        <v>71</v>
      </c>
      <c r="Y24" s="58">
        <v>0</v>
      </c>
      <c r="Z24" s="29" t="s">
        <v>45</v>
      </c>
      <c r="AA24" s="62"/>
      <c r="AB24" s="62"/>
      <c r="AC24" s="62"/>
      <c r="AD24" s="63">
        <f>SUM(AD21:AD23)</f>
        <v>0.99999999999999989</v>
      </c>
    </row>
    <row r="25" spans="1:30" ht="16.149999999999999" customHeight="1" x14ac:dyDescent="0.25">
      <c r="A25" s="215"/>
      <c r="B25" s="56"/>
      <c r="C25" s="45"/>
      <c r="D25" s="51"/>
      <c r="E25" s="52"/>
      <c r="F25" s="51"/>
      <c r="G25" s="52"/>
      <c r="H25" s="53"/>
      <c r="I25" s="43"/>
      <c r="J25" s="106"/>
      <c r="K25" s="108"/>
      <c r="L25" s="106" t="s">
        <v>243</v>
      </c>
      <c r="M25" s="60">
        <v>5</v>
      </c>
      <c r="N25" s="46" t="s">
        <v>74</v>
      </c>
      <c r="O25" s="65" t="s">
        <v>73</v>
      </c>
      <c r="P25" s="58">
        <v>2.5</v>
      </c>
      <c r="Q25" s="29" t="s">
        <v>45</v>
      </c>
      <c r="R25" s="66"/>
      <c r="S25" s="66"/>
      <c r="T25" s="66"/>
      <c r="U25" s="67"/>
      <c r="W25" s="46" t="s">
        <v>74</v>
      </c>
      <c r="X25" s="65" t="s">
        <v>73</v>
      </c>
      <c r="Y25" s="58">
        <v>2.4</v>
      </c>
      <c r="Z25" s="29" t="s">
        <v>45</v>
      </c>
      <c r="AA25" s="66"/>
      <c r="AB25" s="66"/>
      <c r="AC25" s="66"/>
      <c r="AD25" s="67"/>
    </row>
    <row r="26" spans="1:30" ht="16.149999999999999" customHeight="1" thickBot="1" x14ac:dyDescent="0.3">
      <c r="A26" s="231"/>
      <c r="B26" s="232" t="s">
        <v>92</v>
      </c>
      <c r="C26" s="233"/>
      <c r="D26" s="232" t="s">
        <v>237</v>
      </c>
      <c r="E26" s="233"/>
      <c r="F26" s="232" t="s">
        <v>76</v>
      </c>
      <c r="G26" s="233"/>
      <c r="H26" s="232" t="s">
        <v>78</v>
      </c>
      <c r="I26" s="233"/>
      <c r="J26" s="232" t="s">
        <v>77</v>
      </c>
      <c r="K26" s="233"/>
      <c r="L26" s="232" t="s">
        <v>244</v>
      </c>
      <c r="M26" s="233"/>
      <c r="N26" s="73" t="e">
        <f>P26</f>
        <v>#REF!</v>
      </c>
      <c r="O26" s="68" t="s">
        <v>75</v>
      </c>
      <c r="P26" s="69" t="e">
        <f>P20*68+P21*73+P22*24+P23*60+P24*112+P25*45</f>
        <v>#REF!</v>
      </c>
      <c r="Q26" s="70" t="s">
        <v>47</v>
      </c>
      <c r="R26" s="71"/>
      <c r="S26" s="71"/>
      <c r="T26" s="71"/>
      <c r="U26" s="72"/>
      <c r="W26" s="73">
        <f>Y26</f>
        <v>889.6942857142858</v>
      </c>
      <c r="X26" s="68" t="s">
        <v>75</v>
      </c>
      <c r="Y26" s="69">
        <f>Y20*68+Y21*73+Y22*24+Y23*60+Y24*112+Y25*45</f>
        <v>889.6942857142858</v>
      </c>
      <c r="Z26" s="70" t="s">
        <v>47</v>
      </c>
      <c r="AA26" s="71"/>
      <c r="AB26" s="71"/>
      <c r="AC26" s="71"/>
      <c r="AD26" s="72"/>
    </row>
    <row r="27" spans="1:30" ht="16.149999999999999" customHeight="1" thickBot="1" x14ac:dyDescent="0.3">
      <c r="A27" s="214">
        <f>A19+1</f>
        <v>44014</v>
      </c>
      <c r="B27" s="219" t="s">
        <v>229</v>
      </c>
      <c r="C27" s="220"/>
      <c r="D27" s="216" t="s">
        <v>247</v>
      </c>
      <c r="E27" s="217"/>
      <c r="F27" s="216" t="s">
        <v>248</v>
      </c>
      <c r="G27" s="217"/>
      <c r="H27" s="216" t="s">
        <v>41</v>
      </c>
      <c r="I27" s="221"/>
      <c r="J27" s="216" t="s">
        <v>99</v>
      </c>
      <c r="K27" s="242"/>
      <c r="L27" s="223" t="s">
        <v>108</v>
      </c>
      <c r="M27" s="224"/>
      <c r="N27" s="10" t="s">
        <v>43</v>
      </c>
      <c r="O27" s="225" t="s">
        <v>49</v>
      </c>
      <c r="P27" s="226"/>
      <c r="Q27" s="227"/>
      <c r="R27" s="228" t="s">
        <v>50</v>
      </c>
      <c r="S27" s="229"/>
      <c r="T27" s="229"/>
      <c r="U27" s="230"/>
      <c r="W27" s="10" t="s">
        <v>43</v>
      </c>
      <c r="X27" s="225" t="s">
        <v>49</v>
      </c>
      <c r="Y27" s="226"/>
      <c r="Z27" s="227"/>
      <c r="AA27" s="228" t="s">
        <v>50</v>
      </c>
      <c r="AB27" s="229"/>
      <c r="AC27" s="229"/>
      <c r="AD27" s="230"/>
    </row>
    <row r="28" spans="1:30" ht="16.149999999999999" customHeight="1" x14ac:dyDescent="0.25">
      <c r="A28" s="215"/>
      <c r="B28" s="41" t="s">
        <v>81</v>
      </c>
      <c r="C28" s="45">
        <v>60</v>
      </c>
      <c r="D28" s="17" t="s">
        <v>249</v>
      </c>
      <c r="E28" s="99">
        <v>15</v>
      </c>
      <c r="F28" s="48" t="s">
        <v>250</v>
      </c>
      <c r="G28" s="113">
        <v>25</v>
      </c>
      <c r="H28" s="22" t="s">
        <v>109</v>
      </c>
      <c r="I28" s="23">
        <v>120</v>
      </c>
      <c r="J28" s="104" t="s">
        <v>101</v>
      </c>
      <c r="K28" s="78">
        <v>20</v>
      </c>
      <c r="L28" s="24" t="s">
        <v>54</v>
      </c>
      <c r="M28" s="25">
        <v>120</v>
      </c>
      <c r="N28" s="26">
        <f>S29</f>
        <v>101.68571428571428</v>
      </c>
      <c r="O28" s="11" t="s">
        <v>44</v>
      </c>
      <c r="P28" s="58">
        <f>G23/35+M28/20</f>
        <v>6.2857142857142856</v>
      </c>
      <c r="Q28" s="13" t="s">
        <v>45</v>
      </c>
      <c r="R28" s="79" t="s">
        <v>46</v>
      </c>
      <c r="S28" s="80" t="e">
        <f>P34</f>
        <v>#REF!</v>
      </c>
      <c r="T28" s="81" t="s">
        <v>47</v>
      </c>
      <c r="U28" s="82" t="s">
        <v>48</v>
      </c>
      <c r="W28" s="26">
        <f>AB29</f>
        <v>127.1</v>
      </c>
      <c r="X28" s="11" t="s">
        <v>44</v>
      </c>
      <c r="Y28" s="12">
        <f>M28/20+M29/20+G29/30</f>
        <v>7.833333333333333</v>
      </c>
      <c r="Z28" s="13" t="s">
        <v>45</v>
      </c>
      <c r="AA28" s="79" t="s">
        <v>46</v>
      </c>
      <c r="AB28" s="80">
        <f>Y34</f>
        <v>895.31809523809522</v>
      </c>
      <c r="AC28" s="81" t="s">
        <v>47</v>
      </c>
      <c r="AD28" s="82" t="s">
        <v>48</v>
      </c>
    </row>
    <row r="29" spans="1:30" ht="16.149999999999999" customHeight="1" x14ac:dyDescent="0.25">
      <c r="A29" s="215"/>
      <c r="B29" s="114" t="s">
        <v>83</v>
      </c>
      <c r="C29" s="115">
        <v>0</v>
      </c>
      <c r="D29" s="44" t="s">
        <v>251</v>
      </c>
      <c r="E29" s="45">
        <v>10</v>
      </c>
      <c r="F29" s="44" t="s">
        <v>252</v>
      </c>
      <c r="G29" s="45">
        <v>10</v>
      </c>
      <c r="H29" s="41"/>
      <c r="I29" s="42"/>
      <c r="J29" s="95" t="s">
        <v>105</v>
      </c>
      <c r="K29" s="60">
        <v>12</v>
      </c>
      <c r="L29" s="44" t="s">
        <v>110</v>
      </c>
      <c r="M29" s="45">
        <v>30</v>
      </c>
      <c r="N29" s="46" t="s">
        <v>62</v>
      </c>
      <c r="O29" s="27" t="s">
        <v>55</v>
      </c>
      <c r="P29" s="28" t="e">
        <f>C28/35+#REF!/80+#REF!/35</f>
        <v>#REF!</v>
      </c>
      <c r="Q29" s="29" t="s">
        <v>45</v>
      </c>
      <c r="R29" s="30" t="s">
        <v>56</v>
      </c>
      <c r="S29" s="31">
        <f>P28*15+P30*5+P31*15+P32*12</f>
        <v>101.68571428571428</v>
      </c>
      <c r="T29" s="29" t="s">
        <v>57</v>
      </c>
      <c r="U29" s="32" t="e">
        <f>S29*4/S28</f>
        <v>#REF!</v>
      </c>
      <c r="W29" s="46" t="s">
        <v>62</v>
      </c>
      <c r="X29" s="27" t="s">
        <v>55</v>
      </c>
      <c r="Y29" s="28">
        <f>C28/35+E29/40+G28/50+G32/35+K28/80</f>
        <v>2.8571428571428572</v>
      </c>
      <c r="Z29" s="29" t="s">
        <v>45</v>
      </c>
      <c r="AA29" s="30" t="s">
        <v>56</v>
      </c>
      <c r="AB29" s="31">
        <f>Y28*15+Y30*5+Y31*15+Y32*12</f>
        <v>127.1</v>
      </c>
      <c r="AC29" s="29" t="s">
        <v>57</v>
      </c>
      <c r="AD29" s="32">
        <f>AB29*4/AB28</f>
        <v>0.56784287361554919</v>
      </c>
    </row>
    <row r="30" spans="1:30" ht="16.149999999999999" customHeight="1" x14ac:dyDescent="0.25">
      <c r="A30" s="215"/>
      <c r="B30" s="44" t="s">
        <v>111</v>
      </c>
      <c r="C30" s="37">
        <v>15</v>
      </c>
      <c r="D30" s="41" t="s">
        <v>253</v>
      </c>
      <c r="E30" s="45">
        <v>5</v>
      </c>
      <c r="F30" s="44" t="s">
        <v>254</v>
      </c>
      <c r="G30" s="45">
        <v>5</v>
      </c>
      <c r="H30" s="53"/>
      <c r="I30" s="43"/>
      <c r="J30" s="107" t="s">
        <v>107</v>
      </c>
      <c r="K30" s="43">
        <v>1</v>
      </c>
      <c r="L30" s="56"/>
      <c r="M30" s="116"/>
      <c r="N30" s="26" t="e">
        <f>S30</f>
        <v>#REF!</v>
      </c>
      <c r="O30" s="47" t="s">
        <v>63</v>
      </c>
      <c r="P30" s="28">
        <f>(G20+G21+G22+E31+I28+K12+K13+K14)/100</f>
        <v>1.48</v>
      </c>
      <c r="Q30" s="29" t="s">
        <v>45</v>
      </c>
      <c r="R30" s="30" t="s">
        <v>64</v>
      </c>
      <c r="S30" s="31" t="e">
        <f>P29*5+P32*4+P33*5</f>
        <v>#REF!</v>
      </c>
      <c r="T30" s="29" t="s">
        <v>57</v>
      </c>
      <c r="U30" s="32" t="e">
        <f>S30*9/S28</f>
        <v>#REF!</v>
      </c>
      <c r="W30" s="26">
        <f>AB30</f>
        <v>26.285714285714285</v>
      </c>
      <c r="X30" s="47" t="s">
        <v>63</v>
      </c>
      <c r="Y30" s="28">
        <f>(C30+C31+E28+E30+E31+E32+G30+G31+G33+I28+K29+K30)/100</f>
        <v>1.92</v>
      </c>
      <c r="Z30" s="29" t="s">
        <v>45</v>
      </c>
      <c r="AA30" s="30" t="s">
        <v>64</v>
      </c>
      <c r="AB30" s="31">
        <f>Y29*5+Y32*4+Y33*5</f>
        <v>26.285714285714285</v>
      </c>
      <c r="AC30" s="29" t="s">
        <v>57</v>
      </c>
      <c r="AD30" s="32">
        <f>AB30*9/AB28</f>
        <v>0.26423170695384668</v>
      </c>
    </row>
    <row r="31" spans="1:30" ht="16.149999999999999" customHeight="1" x14ac:dyDescent="0.25">
      <c r="A31" s="215"/>
      <c r="B31" s="41" t="s">
        <v>69</v>
      </c>
      <c r="C31" s="37">
        <v>5</v>
      </c>
      <c r="D31" s="117" t="s">
        <v>255</v>
      </c>
      <c r="E31" s="118">
        <v>3</v>
      </c>
      <c r="F31" s="41" t="s">
        <v>253</v>
      </c>
      <c r="G31" s="45">
        <v>5</v>
      </c>
      <c r="H31" s="53"/>
      <c r="I31" s="43"/>
      <c r="J31" s="95" t="s">
        <v>65</v>
      </c>
      <c r="K31" s="60">
        <v>1</v>
      </c>
      <c r="L31" s="56"/>
      <c r="M31" s="116"/>
      <c r="N31" s="46" t="s">
        <v>70</v>
      </c>
      <c r="O31" s="57" t="s">
        <v>67</v>
      </c>
      <c r="P31" s="58">
        <v>0</v>
      </c>
      <c r="Q31" s="29" t="s">
        <v>45</v>
      </c>
      <c r="R31" s="30" t="s">
        <v>68</v>
      </c>
      <c r="S31" s="31" t="e">
        <f>P28*2+P29*7+P30*1+P32*8</f>
        <v>#REF!</v>
      </c>
      <c r="T31" s="29" t="s">
        <v>57</v>
      </c>
      <c r="U31" s="32" t="e">
        <f>S31*4/S28</f>
        <v>#REF!</v>
      </c>
      <c r="W31" s="46" t="s">
        <v>70</v>
      </c>
      <c r="X31" s="61" t="s">
        <v>67</v>
      </c>
      <c r="Y31" s="58">
        <v>0</v>
      </c>
      <c r="Z31" s="29" t="s">
        <v>45</v>
      </c>
      <c r="AA31" s="30" t="s">
        <v>68</v>
      </c>
      <c r="AB31" s="31">
        <f>Y28*2+Y29*7+Y30*1+Y32*8</f>
        <v>37.586666666666666</v>
      </c>
      <c r="AC31" s="29" t="s">
        <v>57</v>
      </c>
      <c r="AD31" s="32">
        <f>AB31*4/AB28</f>
        <v>0.16792541943060407</v>
      </c>
    </row>
    <row r="32" spans="1:30" ht="16.149999999999999" customHeight="1" x14ac:dyDescent="0.25">
      <c r="A32" s="215" t="s">
        <v>112</v>
      </c>
      <c r="B32" s="41"/>
      <c r="C32" s="43"/>
      <c r="D32" s="96" t="s">
        <v>256</v>
      </c>
      <c r="E32" s="119">
        <v>3</v>
      </c>
      <c r="F32" s="117" t="s">
        <v>242</v>
      </c>
      <c r="G32" s="118">
        <v>5</v>
      </c>
      <c r="H32" s="53"/>
      <c r="I32" s="43"/>
      <c r="J32" s="111"/>
      <c r="K32" s="112"/>
      <c r="L32" s="56"/>
      <c r="M32" s="116"/>
      <c r="N32" s="26" t="e">
        <f>S31</f>
        <v>#REF!</v>
      </c>
      <c r="O32" s="61" t="s">
        <v>71</v>
      </c>
      <c r="P32" s="58">
        <v>0</v>
      </c>
      <c r="Q32" s="29" t="s">
        <v>45</v>
      </c>
      <c r="R32" s="62"/>
      <c r="S32" s="62"/>
      <c r="T32" s="62"/>
      <c r="U32" s="63" t="e">
        <f>SUM(U29:U31)</f>
        <v>#REF!</v>
      </c>
      <c r="W32" s="26">
        <f>AB31</f>
        <v>37.586666666666666</v>
      </c>
      <c r="X32" s="61" t="s">
        <v>71</v>
      </c>
      <c r="Y32" s="58">
        <v>0</v>
      </c>
      <c r="Z32" s="29" t="s">
        <v>45</v>
      </c>
      <c r="AA32" s="62"/>
      <c r="AB32" s="62"/>
      <c r="AC32" s="62"/>
      <c r="AD32" s="63">
        <f>SUM(AD29:AD31)</f>
        <v>1</v>
      </c>
    </row>
    <row r="33" spans="1:30" ht="16.149999999999999" customHeight="1" x14ac:dyDescent="0.25">
      <c r="A33" s="215"/>
      <c r="B33" s="53"/>
      <c r="C33" s="43"/>
      <c r="D33" s="51"/>
      <c r="E33" s="97"/>
      <c r="F33" s="96" t="s">
        <v>257</v>
      </c>
      <c r="G33" s="119">
        <v>3</v>
      </c>
      <c r="H33" s="53"/>
      <c r="I33" s="43"/>
      <c r="J33" s="91"/>
      <c r="K33" s="112"/>
      <c r="L33" s="44"/>
      <c r="M33" s="110"/>
      <c r="N33" s="46" t="s">
        <v>74</v>
      </c>
      <c r="O33" s="65" t="s">
        <v>73</v>
      </c>
      <c r="P33" s="58">
        <v>2.5</v>
      </c>
      <c r="Q33" s="29" t="s">
        <v>45</v>
      </c>
      <c r="R33" s="66"/>
      <c r="S33" s="66"/>
      <c r="T33" s="66"/>
      <c r="U33" s="67"/>
      <c r="W33" s="46" t="s">
        <v>74</v>
      </c>
      <c r="X33" s="65" t="s">
        <v>73</v>
      </c>
      <c r="Y33" s="58">
        <v>2.4</v>
      </c>
      <c r="Z33" s="29" t="s">
        <v>45</v>
      </c>
      <c r="AA33" s="66"/>
      <c r="AB33" s="66"/>
      <c r="AC33" s="66"/>
      <c r="AD33" s="67"/>
    </row>
    <row r="34" spans="1:30" ht="16.149999999999999" customHeight="1" thickBot="1" x14ac:dyDescent="0.3">
      <c r="A34" s="231"/>
      <c r="B34" s="232" t="s">
        <v>114</v>
      </c>
      <c r="C34" s="233"/>
      <c r="D34" s="232" t="s">
        <v>258</v>
      </c>
      <c r="E34" s="233"/>
      <c r="F34" s="232" t="s">
        <v>258</v>
      </c>
      <c r="G34" s="233"/>
      <c r="H34" s="232" t="s">
        <v>78</v>
      </c>
      <c r="I34" s="233"/>
      <c r="J34" s="232" t="s">
        <v>77</v>
      </c>
      <c r="K34" s="233"/>
      <c r="L34" s="232" t="s">
        <v>79</v>
      </c>
      <c r="M34" s="233"/>
      <c r="N34" s="73" t="e">
        <f>P34</f>
        <v>#REF!</v>
      </c>
      <c r="O34" s="68" t="s">
        <v>75</v>
      </c>
      <c r="P34" s="69" t="e">
        <f>P28*68+P29*73+P30*24+P31*60+P32*112+P33*45</f>
        <v>#REF!</v>
      </c>
      <c r="Q34" s="70" t="s">
        <v>47</v>
      </c>
      <c r="R34" s="71"/>
      <c r="S34" s="71"/>
      <c r="T34" s="71"/>
      <c r="U34" s="72"/>
      <c r="W34" s="73">
        <f>Y34</f>
        <v>895.31809523809522</v>
      </c>
      <c r="X34" s="68" t="s">
        <v>75</v>
      </c>
      <c r="Y34" s="69">
        <f>Y28*68+Y29*73+Y30*24+Y31*60+Y32*112+Y33*45</f>
        <v>895.31809523809522</v>
      </c>
      <c r="Z34" s="70" t="s">
        <v>47</v>
      </c>
      <c r="AA34" s="71"/>
      <c r="AB34" s="71"/>
      <c r="AC34" s="71"/>
      <c r="AD34" s="72"/>
    </row>
    <row r="35" spans="1:30" ht="16.149999999999999" customHeight="1" thickBot="1" x14ac:dyDescent="0.3">
      <c r="A35" s="214">
        <f>A27+1</f>
        <v>44015</v>
      </c>
      <c r="B35" s="219" t="s">
        <v>115</v>
      </c>
      <c r="C35" s="238"/>
      <c r="D35" s="239" t="s">
        <v>232</v>
      </c>
      <c r="E35" s="217"/>
      <c r="F35" s="216" t="s">
        <v>116</v>
      </c>
      <c r="G35" s="217"/>
      <c r="H35" s="216" t="s">
        <v>41</v>
      </c>
      <c r="I35" s="221"/>
      <c r="J35" s="216" t="s">
        <v>117</v>
      </c>
      <c r="K35" s="242"/>
      <c r="L35" s="216" t="s">
        <v>259</v>
      </c>
      <c r="M35" s="217"/>
      <c r="N35" s="10" t="s">
        <v>43</v>
      </c>
      <c r="O35" s="225" t="s">
        <v>49</v>
      </c>
      <c r="P35" s="226"/>
      <c r="Q35" s="227"/>
      <c r="R35" s="228" t="s">
        <v>50</v>
      </c>
      <c r="S35" s="229"/>
      <c r="T35" s="229"/>
      <c r="U35" s="230"/>
      <c r="W35" s="10" t="s">
        <v>43</v>
      </c>
      <c r="X35" s="225" t="s">
        <v>49</v>
      </c>
      <c r="Y35" s="226"/>
      <c r="Z35" s="227"/>
      <c r="AA35" s="228" t="s">
        <v>50</v>
      </c>
      <c r="AB35" s="229"/>
      <c r="AC35" s="229"/>
      <c r="AD35" s="230"/>
    </row>
    <row r="36" spans="1:30" ht="16.149999999999999" customHeight="1" x14ac:dyDescent="0.25">
      <c r="A36" s="215"/>
      <c r="B36" s="44" t="s">
        <v>98</v>
      </c>
      <c r="C36" s="37">
        <v>100</v>
      </c>
      <c r="D36" s="98" t="s">
        <v>233</v>
      </c>
      <c r="E36" s="99">
        <v>30</v>
      </c>
      <c r="F36" s="120" t="s">
        <v>118</v>
      </c>
      <c r="G36" s="43">
        <v>35</v>
      </c>
      <c r="H36" s="22" t="s">
        <v>260</v>
      </c>
      <c r="I36" s="160">
        <v>120</v>
      </c>
      <c r="J36" s="24" t="s">
        <v>102</v>
      </c>
      <c r="K36" s="121">
        <v>15</v>
      </c>
      <c r="L36" s="122" t="s">
        <v>54</v>
      </c>
      <c r="M36" s="25">
        <v>150</v>
      </c>
      <c r="N36" s="26" t="e">
        <f>S37</f>
        <v>#REF!</v>
      </c>
      <c r="O36" s="11" t="s">
        <v>44</v>
      </c>
      <c r="P36" s="58">
        <f>G41/55+M36/20+M37/20</f>
        <v>7.5</v>
      </c>
      <c r="Q36" s="13" t="s">
        <v>45</v>
      </c>
      <c r="R36" s="79" t="s">
        <v>46</v>
      </c>
      <c r="S36" s="80" t="e">
        <f>P42</f>
        <v>#REF!</v>
      </c>
      <c r="T36" s="81" t="s">
        <v>47</v>
      </c>
      <c r="U36" s="102"/>
      <c r="W36" s="26">
        <f>AB37</f>
        <v>126.51372549019608</v>
      </c>
      <c r="X36" s="11" t="s">
        <v>44</v>
      </c>
      <c r="Y36" s="58">
        <f>M36/20+K36/85+K37/90</f>
        <v>7.7875816993464051</v>
      </c>
      <c r="Z36" s="13" t="s">
        <v>45</v>
      </c>
      <c r="AA36" s="79" t="s">
        <v>46</v>
      </c>
      <c r="AB36" s="80">
        <f>Y42</f>
        <v>884.984062049062</v>
      </c>
      <c r="AC36" s="81" t="s">
        <v>47</v>
      </c>
      <c r="AD36" s="102"/>
    </row>
    <row r="37" spans="1:30" ht="16.149999999999999" customHeight="1" x14ac:dyDescent="0.25">
      <c r="A37" s="215"/>
      <c r="B37" s="103" t="s">
        <v>83</v>
      </c>
      <c r="C37" s="115">
        <v>0.4</v>
      </c>
      <c r="D37" s="51" t="s">
        <v>69</v>
      </c>
      <c r="E37" s="52">
        <v>2</v>
      </c>
      <c r="F37" s="120" t="s">
        <v>58</v>
      </c>
      <c r="G37" s="43">
        <v>5</v>
      </c>
      <c r="H37" s="41"/>
      <c r="I37" s="42"/>
      <c r="J37" s="105" t="s">
        <v>93</v>
      </c>
      <c r="K37" s="123">
        <v>10</v>
      </c>
      <c r="L37" s="56"/>
      <c r="M37" s="45"/>
      <c r="N37" s="46" t="s">
        <v>62</v>
      </c>
      <c r="O37" s="27" t="s">
        <v>55</v>
      </c>
      <c r="P37" s="28" t="e">
        <f>C36*0.58/40+E38/55+#REF!*0.52/35+#REF!/80</f>
        <v>#REF!</v>
      </c>
      <c r="Q37" s="29" t="s">
        <v>45</v>
      </c>
      <c r="R37" s="30" t="s">
        <v>56</v>
      </c>
      <c r="S37" s="31" t="e">
        <f>P36*15+P38*5+P39*15+P40*12</f>
        <v>#REF!</v>
      </c>
      <c r="T37" s="29" t="s">
        <v>57</v>
      </c>
      <c r="U37" s="32" t="e">
        <f>S37*4/S36</f>
        <v>#REF!</v>
      </c>
      <c r="W37" s="46" t="s">
        <v>62</v>
      </c>
      <c r="X37" s="27" t="s">
        <v>55</v>
      </c>
      <c r="Y37" s="28">
        <f>C36*0.6/40+E38/35+G36/40+K40/55</f>
        <v>2.7516233766233764</v>
      </c>
      <c r="Z37" s="29" t="s">
        <v>45</v>
      </c>
      <c r="AA37" s="30" t="s">
        <v>56</v>
      </c>
      <c r="AB37" s="31">
        <f>Y36*15+Y38*5+Y39*15+Y40*12</f>
        <v>126.51372549019608</v>
      </c>
      <c r="AC37" s="29" t="s">
        <v>57</v>
      </c>
      <c r="AD37" s="32">
        <f>AB37*4/AB36</f>
        <v>0.57182374650802414</v>
      </c>
    </row>
    <row r="38" spans="1:30" ht="16.149999999999999" customHeight="1" x14ac:dyDescent="0.25">
      <c r="A38" s="215"/>
      <c r="B38" t="s">
        <v>111</v>
      </c>
      <c r="C38" s="97">
        <v>10</v>
      </c>
      <c r="D38" s="56" t="s">
        <v>97</v>
      </c>
      <c r="E38" s="45">
        <v>10</v>
      </c>
      <c r="F38" s="59"/>
      <c r="G38" s="60"/>
      <c r="H38" s="53"/>
      <c r="I38" s="43"/>
      <c r="J38" s="120" t="s">
        <v>96</v>
      </c>
      <c r="K38" s="123">
        <v>10</v>
      </c>
      <c r="L38" s="41"/>
      <c r="M38" s="110"/>
      <c r="N38" s="26" t="e">
        <f>S38</f>
        <v>#REF!</v>
      </c>
      <c r="O38" s="47" t="s">
        <v>63</v>
      </c>
      <c r="P38" s="28" t="e">
        <f>(E36+E37+E38+E39+#REF!+#REF!+I36+#REF!+#REF!)/100</f>
        <v>#REF!</v>
      </c>
      <c r="Q38" s="29" t="s">
        <v>45</v>
      </c>
      <c r="R38" s="30" t="s">
        <v>64</v>
      </c>
      <c r="S38" s="31" t="e">
        <f>P37*5+P40*4+P41*5</f>
        <v>#REF!</v>
      </c>
      <c r="T38" s="29" t="s">
        <v>57</v>
      </c>
      <c r="U38" s="32" t="e">
        <f>S38*9/S36</f>
        <v>#REF!</v>
      </c>
      <c r="W38" s="26">
        <f>AB38</f>
        <v>25.758116883116884</v>
      </c>
      <c r="X38" s="47" t="s">
        <v>63</v>
      </c>
      <c r="Y38" s="28">
        <f>(C38+C39+E36+E37+E39+G37+I36+K38+K39)/100</f>
        <v>1.94</v>
      </c>
      <c r="Z38" s="29" t="s">
        <v>45</v>
      </c>
      <c r="AA38" s="30" t="s">
        <v>64</v>
      </c>
      <c r="AB38" s="31">
        <f>Y37*5+Y40*4+Y41*5</f>
        <v>25.758116883116884</v>
      </c>
      <c r="AC38" s="29" t="s">
        <v>57</v>
      </c>
      <c r="AD38" s="32">
        <f>AB38*9/AB36</f>
        <v>0.26195166883717291</v>
      </c>
    </row>
    <row r="39" spans="1:30" ht="16.149999999999999" customHeight="1" x14ac:dyDescent="0.25">
      <c r="A39" s="215"/>
      <c r="B39" s="44" t="s">
        <v>119</v>
      </c>
      <c r="C39" s="97">
        <v>10</v>
      </c>
      <c r="D39" s="44" t="s">
        <v>121</v>
      </c>
      <c r="E39" s="45">
        <v>2</v>
      </c>
      <c r="F39" s="53"/>
      <c r="G39" s="124"/>
      <c r="H39" s="53"/>
      <c r="I39" s="43"/>
      <c r="J39" s="120" t="s">
        <v>84</v>
      </c>
      <c r="K39" s="123">
        <v>5</v>
      </c>
      <c r="L39" s="44"/>
      <c r="M39" s="116"/>
      <c r="N39" s="46" t="s">
        <v>70</v>
      </c>
      <c r="O39" s="57" t="s">
        <v>67</v>
      </c>
      <c r="P39" s="58">
        <v>0</v>
      </c>
      <c r="Q39" s="29" t="s">
        <v>45</v>
      </c>
      <c r="R39" s="30" t="s">
        <v>68</v>
      </c>
      <c r="S39" s="31" t="e">
        <f>P36*2+P37*7+P38*1+P40*8</f>
        <v>#REF!</v>
      </c>
      <c r="T39" s="29" t="s">
        <v>57</v>
      </c>
      <c r="U39" s="32" t="e">
        <f>S39*4/S36</f>
        <v>#REF!</v>
      </c>
      <c r="W39" s="46" t="s">
        <v>70</v>
      </c>
      <c r="X39" s="61" t="s">
        <v>67</v>
      </c>
      <c r="Y39" s="58">
        <v>0</v>
      </c>
      <c r="Z39" s="29" t="s">
        <v>45</v>
      </c>
      <c r="AA39" s="30" t="s">
        <v>68</v>
      </c>
      <c r="AB39" s="31">
        <f>Y36*2+Y37*7+Y38*1+Y40*8</f>
        <v>36.776527035056439</v>
      </c>
      <c r="AC39" s="29" t="s">
        <v>57</v>
      </c>
      <c r="AD39" s="32">
        <f>AB39*4/AB36</f>
        <v>0.16622458465480303</v>
      </c>
    </row>
    <row r="40" spans="1:30" ht="16.149999999999999" customHeight="1" x14ac:dyDescent="0.25">
      <c r="A40" s="215" t="s">
        <v>120</v>
      </c>
      <c r="B40" t="s">
        <v>65</v>
      </c>
      <c r="C40" s="97">
        <v>1</v>
      </c>
      <c r="D40" s="44"/>
      <c r="E40" s="45"/>
      <c r="F40" s="59"/>
      <c r="G40" s="124"/>
      <c r="H40" s="53"/>
      <c r="I40" s="43"/>
      <c r="J40" s="41" t="s">
        <v>122</v>
      </c>
      <c r="K40" s="123">
        <v>5</v>
      </c>
      <c r="L40" s="44"/>
      <c r="M40" s="116"/>
      <c r="N40" s="26" t="e">
        <f>S39</f>
        <v>#REF!</v>
      </c>
      <c r="O40" s="61" t="s">
        <v>71</v>
      </c>
      <c r="P40" s="58">
        <v>0</v>
      </c>
      <c r="Q40" s="29" t="s">
        <v>45</v>
      </c>
      <c r="R40" s="62"/>
      <c r="S40" s="62"/>
      <c r="T40" s="62"/>
      <c r="U40" s="63" t="e">
        <f>SUM(U37:U39)</f>
        <v>#REF!</v>
      </c>
      <c r="W40" s="26">
        <f>AB39</f>
        <v>36.776527035056439</v>
      </c>
      <c r="X40" s="61" t="s">
        <v>71</v>
      </c>
      <c r="Y40" s="58">
        <v>0</v>
      </c>
      <c r="Z40" s="29" t="s">
        <v>45</v>
      </c>
      <c r="AA40" s="62"/>
      <c r="AB40" s="62"/>
      <c r="AC40" s="62"/>
      <c r="AD40" s="63">
        <f>SUM(AD37:AD39)</f>
        <v>1</v>
      </c>
    </row>
    <row r="41" spans="1:30" ht="16.149999999999999" customHeight="1" x14ac:dyDescent="0.25">
      <c r="A41" s="215"/>
      <c r="B41" s="51"/>
      <c r="C41" s="97"/>
      <c r="D41" s="51"/>
      <c r="E41" s="52"/>
      <c r="F41" s="41"/>
      <c r="G41" s="45"/>
      <c r="H41" s="53"/>
      <c r="I41" s="43"/>
      <c r="J41" s="53"/>
      <c r="K41" s="43"/>
      <c r="L41" s="44"/>
      <c r="M41" s="116"/>
      <c r="N41" s="46" t="s">
        <v>74</v>
      </c>
      <c r="O41" s="65" t="s">
        <v>73</v>
      </c>
      <c r="P41" s="58">
        <v>2.5</v>
      </c>
      <c r="Q41" s="29" t="s">
        <v>45</v>
      </c>
      <c r="R41" s="66"/>
      <c r="S41" s="66"/>
      <c r="T41" s="66"/>
      <c r="U41" s="67"/>
      <c r="W41" s="46" t="s">
        <v>74</v>
      </c>
      <c r="X41" s="65" t="s">
        <v>73</v>
      </c>
      <c r="Y41" s="58">
        <v>2.4</v>
      </c>
      <c r="Z41" s="29" t="s">
        <v>45</v>
      </c>
      <c r="AA41" s="66"/>
      <c r="AB41" s="66"/>
      <c r="AC41" s="66"/>
      <c r="AD41" s="67"/>
    </row>
    <row r="42" spans="1:30" ht="16.149999999999999" customHeight="1" thickBot="1" x14ac:dyDescent="0.3">
      <c r="A42" s="231"/>
      <c r="B42" s="232" t="s">
        <v>123</v>
      </c>
      <c r="C42" s="233"/>
      <c r="D42" s="232" t="s">
        <v>76</v>
      </c>
      <c r="E42" s="233"/>
      <c r="F42" s="232" t="s">
        <v>90</v>
      </c>
      <c r="G42" s="233"/>
      <c r="H42" s="232" t="s">
        <v>78</v>
      </c>
      <c r="I42" s="233"/>
      <c r="J42" s="232" t="s">
        <v>77</v>
      </c>
      <c r="K42" s="233"/>
      <c r="L42" s="232" t="s">
        <v>79</v>
      </c>
      <c r="M42" s="233"/>
      <c r="N42" s="73" t="e">
        <f>P42</f>
        <v>#REF!</v>
      </c>
      <c r="O42" s="68" t="s">
        <v>75</v>
      </c>
      <c r="P42" s="69" t="e">
        <f>P36*68+P37*73+P38*24+P39*60+P40*112+P41*45</f>
        <v>#REF!</v>
      </c>
      <c r="Q42" s="70" t="s">
        <v>47</v>
      </c>
      <c r="R42" s="71"/>
      <c r="S42" s="71"/>
      <c r="T42" s="71"/>
      <c r="U42" s="72"/>
      <c r="W42" s="73">
        <f>Y42</f>
        <v>884.984062049062</v>
      </c>
      <c r="X42" s="68" t="s">
        <v>75</v>
      </c>
      <c r="Y42" s="69">
        <f>Y36*68+Y37*73+Y38*24+Y39*60+Y40*112+Y41*45</f>
        <v>884.984062049062</v>
      </c>
      <c r="Z42" s="70" t="s">
        <v>47</v>
      </c>
      <c r="AA42" s="71"/>
      <c r="AB42" s="71"/>
      <c r="AC42" s="71"/>
      <c r="AD42" s="72"/>
    </row>
    <row r="43" spans="1:30" x14ac:dyDescent="0.25">
      <c r="A43" s="243" t="s">
        <v>124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1:30" ht="16.149999999999999" customHeight="1" x14ac:dyDescent="0.25">
      <c r="A44" s="245" t="s">
        <v>125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1:30" x14ac:dyDescent="0.25">
      <c r="A45" s="246" t="s">
        <v>126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</row>
    <row r="46" spans="1:30" ht="16.149999999999999" customHeight="1" x14ac:dyDescent="0.25">
      <c r="A46" s="247" t="s">
        <v>127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1:30" x14ac:dyDescent="0.25">
      <c r="A47" s="248" t="s">
        <v>128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30" ht="21.75" thickBot="1" x14ac:dyDescent="0.3">
      <c r="A48" s="236" t="s">
        <v>129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125"/>
    </row>
    <row r="49" spans="1:30" ht="35.25" thickBot="1" x14ac:dyDescent="0.3">
      <c r="A49" s="126" t="s">
        <v>33</v>
      </c>
      <c r="B49" s="127" t="s">
        <v>34</v>
      </c>
      <c r="C49" s="9" t="s">
        <v>35</v>
      </c>
      <c r="D49" s="127" t="s">
        <v>36</v>
      </c>
      <c r="E49" s="9" t="s">
        <v>35</v>
      </c>
      <c r="F49" s="127" t="s">
        <v>36</v>
      </c>
      <c r="G49" s="9" t="s">
        <v>35</v>
      </c>
      <c r="H49" s="8" t="s">
        <v>130</v>
      </c>
      <c r="I49" s="9" t="s">
        <v>35</v>
      </c>
      <c r="J49" s="127" t="s">
        <v>37</v>
      </c>
      <c r="K49" s="9" t="s">
        <v>35</v>
      </c>
      <c r="L49" s="127" t="s">
        <v>38</v>
      </c>
      <c r="M49" s="9" t="s">
        <v>35</v>
      </c>
      <c r="N49" s="9" t="s">
        <v>39</v>
      </c>
      <c r="O49" s="211" t="s">
        <v>40</v>
      </c>
      <c r="P49" s="212"/>
      <c r="Q49" s="212"/>
      <c r="R49" s="212"/>
      <c r="S49" s="212"/>
      <c r="T49" s="212"/>
      <c r="U49" s="213"/>
      <c r="W49" s="9" t="s">
        <v>39</v>
      </c>
      <c r="X49" s="211" t="s">
        <v>40</v>
      </c>
      <c r="Y49" s="212"/>
      <c r="Z49" s="212"/>
      <c r="AA49" s="212"/>
      <c r="AB49" s="212"/>
      <c r="AC49" s="212"/>
      <c r="AD49" s="213"/>
    </row>
    <row r="50" spans="1:30" ht="16.149999999999999" customHeight="1" thickBot="1" x14ac:dyDescent="0.3">
      <c r="A50" s="214">
        <v>44018</v>
      </c>
      <c r="B50" s="219" t="s">
        <v>262</v>
      </c>
      <c r="C50" s="220"/>
      <c r="D50" s="219" t="s">
        <v>131</v>
      </c>
      <c r="E50" s="220"/>
      <c r="F50" s="216" t="s">
        <v>264</v>
      </c>
      <c r="G50" s="242"/>
      <c r="H50" s="216" t="s">
        <v>132</v>
      </c>
      <c r="I50" s="221"/>
      <c r="J50" s="216" t="s">
        <v>133</v>
      </c>
      <c r="K50" s="242"/>
      <c r="L50" s="223" t="s">
        <v>42</v>
      </c>
      <c r="M50" s="224"/>
      <c r="N50" s="10" t="s">
        <v>43</v>
      </c>
      <c r="O50" s="11" t="s">
        <v>44</v>
      </c>
      <c r="P50" s="12">
        <v>0</v>
      </c>
      <c r="Q50" s="13" t="s">
        <v>45</v>
      </c>
      <c r="R50" s="14" t="s">
        <v>46</v>
      </c>
      <c r="S50" s="15">
        <f>P56</f>
        <v>0</v>
      </c>
      <c r="T50" s="13" t="s">
        <v>47</v>
      </c>
      <c r="U50" s="16" t="s">
        <v>48</v>
      </c>
      <c r="W50" s="10" t="s">
        <v>43</v>
      </c>
      <c r="X50" s="225" t="s">
        <v>49</v>
      </c>
      <c r="Y50" s="226"/>
      <c r="Z50" s="227"/>
      <c r="AA50" s="228" t="s">
        <v>50</v>
      </c>
      <c r="AB50" s="229"/>
      <c r="AC50" s="229"/>
      <c r="AD50" s="230"/>
    </row>
    <row r="51" spans="1:30" ht="16.149999999999999" customHeight="1" x14ac:dyDescent="0.25">
      <c r="A51" s="250"/>
      <c r="B51" s="41" t="s">
        <v>263</v>
      </c>
      <c r="C51" s="45">
        <v>120</v>
      </c>
      <c r="D51" s="17" t="s">
        <v>93</v>
      </c>
      <c r="E51" s="99">
        <v>40</v>
      </c>
      <c r="F51" s="24" t="s">
        <v>265</v>
      </c>
      <c r="G51" s="25">
        <v>40</v>
      </c>
      <c r="H51" s="128" t="s">
        <v>82</v>
      </c>
      <c r="I51" s="160">
        <v>120</v>
      </c>
      <c r="J51" s="34" t="s">
        <v>134</v>
      </c>
      <c r="K51" s="78">
        <v>25</v>
      </c>
      <c r="L51" s="24" t="s">
        <v>54</v>
      </c>
      <c r="M51" s="25">
        <v>110</v>
      </c>
      <c r="N51" s="26">
        <f>S51</f>
        <v>0</v>
      </c>
      <c r="O51" s="27" t="s">
        <v>55</v>
      </c>
      <c r="P51" s="28">
        <v>0</v>
      </c>
      <c r="Q51" s="29" t="s">
        <v>45</v>
      </c>
      <c r="R51" s="30" t="s">
        <v>56</v>
      </c>
      <c r="S51" s="31">
        <f>P50*15+P52*5+P53*15+P54*12</f>
        <v>0</v>
      </c>
      <c r="T51" s="29" t="s">
        <v>57</v>
      </c>
      <c r="U51" s="32" t="e">
        <f>S51*4/S50</f>
        <v>#DIV/0!</v>
      </c>
      <c r="W51" s="26">
        <f>AB52</f>
        <v>120.36666666666667</v>
      </c>
      <c r="X51" s="33" t="s">
        <v>44</v>
      </c>
      <c r="Y51" s="12">
        <f>M51/20+M52/20+E51/90</f>
        <v>7.4444444444444446</v>
      </c>
      <c r="Z51" s="13" t="s">
        <v>45</v>
      </c>
      <c r="AA51" s="14" t="s">
        <v>46</v>
      </c>
      <c r="AB51" s="15">
        <f>Y57</f>
        <v>860.38222222222225</v>
      </c>
      <c r="AC51" s="13" t="s">
        <v>47</v>
      </c>
      <c r="AD51" s="16" t="s">
        <v>48</v>
      </c>
    </row>
    <row r="52" spans="1:30" ht="16.149999999999999" customHeight="1" x14ac:dyDescent="0.25">
      <c r="A52" s="250"/>
      <c r="B52" s="103" t="s">
        <v>83</v>
      </c>
      <c r="C52" s="115">
        <v>0.4</v>
      </c>
      <c r="D52" s="41" t="s">
        <v>96</v>
      </c>
      <c r="E52" s="45">
        <v>15</v>
      </c>
      <c r="F52" s="44" t="s">
        <v>266</v>
      </c>
      <c r="G52" s="45">
        <v>0.1</v>
      </c>
      <c r="I52" s="159"/>
      <c r="J52" s="41" t="s">
        <v>84</v>
      </c>
      <c r="K52" s="40">
        <v>5</v>
      </c>
      <c r="L52" s="44" t="s">
        <v>61</v>
      </c>
      <c r="M52" s="45">
        <v>30</v>
      </c>
      <c r="N52" s="46" t="s">
        <v>62</v>
      </c>
      <c r="O52" s="47" t="s">
        <v>63</v>
      </c>
      <c r="P52" s="28">
        <v>0</v>
      </c>
      <c r="Q52" s="29" t="s">
        <v>45</v>
      </c>
      <c r="R52" s="30" t="s">
        <v>64</v>
      </c>
      <c r="S52" s="31">
        <f>P51*5+P54*4+P55*5</f>
        <v>0</v>
      </c>
      <c r="T52" s="29" t="s">
        <v>57</v>
      </c>
      <c r="U52" s="32" t="e">
        <f>S52*9/S50</f>
        <v>#DIV/0!</v>
      </c>
      <c r="W52" s="46" t="s">
        <v>62</v>
      </c>
      <c r="X52" s="27" t="s">
        <v>55</v>
      </c>
      <c r="Y52" s="28">
        <f>C51*0.6/40+G51/40</f>
        <v>2.8</v>
      </c>
      <c r="Z52" s="29" t="s">
        <v>45</v>
      </c>
      <c r="AA52" s="30" t="s">
        <v>56</v>
      </c>
      <c r="AB52" s="31">
        <f>Y51*15+Y53*5+Y54*15+Y55*12</f>
        <v>120.36666666666667</v>
      </c>
      <c r="AC52" s="29" t="s">
        <v>57</v>
      </c>
      <c r="AD52" s="32">
        <f>AB52*4/AB51</f>
        <v>0.55959625179506789</v>
      </c>
    </row>
    <row r="53" spans="1:30" ht="16.149999999999999" customHeight="1" x14ac:dyDescent="0.25">
      <c r="A53" s="250"/>
      <c r="B53" s="48"/>
      <c r="C53" s="49"/>
      <c r="D53" s="44" t="s">
        <v>84</v>
      </c>
      <c r="E53" s="45">
        <v>8</v>
      </c>
      <c r="F53" s="41"/>
      <c r="G53" s="45"/>
      <c r="H53" s="251"/>
      <c r="I53" s="252"/>
      <c r="J53" s="22" t="s">
        <v>60</v>
      </c>
      <c r="K53" s="40">
        <v>1</v>
      </c>
      <c r="N53" s="26">
        <f>S52</f>
        <v>0</v>
      </c>
      <c r="O53" s="57" t="s">
        <v>67</v>
      </c>
      <c r="P53" s="58">
        <v>0</v>
      </c>
      <c r="Q53" s="29" t="s">
        <v>45</v>
      </c>
      <c r="R53" s="30" t="s">
        <v>68</v>
      </c>
      <c r="S53" s="31">
        <f>P50*2+P51*7+P52*1+P54*8</f>
        <v>0</v>
      </c>
      <c r="T53" s="29" t="s">
        <v>57</v>
      </c>
      <c r="U53" s="32" t="e">
        <f>S53*4/S50</f>
        <v>#DIV/0!</v>
      </c>
      <c r="W53" s="26">
        <f>AB53</f>
        <v>26</v>
      </c>
      <c r="X53" s="47" t="s">
        <v>63</v>
      </c>
      <c r="Y53" s="28">
        <f>(E52+E53+I51+K51+K52+K53)/100</f>
        <v>1.74</v>
      </c>
      <c r="Z53" s="29" t="s">
        <v>45</v>
      </c>
      <c r="AA53" s="30" t="s">
        <v>64</v>
      </c>
      <c r="AB53" s="31">
        <f>Y52*5+Y55*4+Y56*5</f>
        <v>26</v>
      </c>
      <c r="AC53" s="29" t="s">
        <v>57</v>
      </c>
      <c r="AD53" s="32">
        <f>AB53*9/AB51</f>
        <v>0.271972146746149</v>
      </c>
    </row>
    <row r="54" spans="1:30" ht="16.149999999999999" customHeight="1" x14ac:dyDescent="0.25">
      <c r="A54" s="250"/>
      <c r="B54" s="48"/>
      <c r="C54" s="49"/>
      <c r="D54" s="41" t="s">
        <v>103</v>
      </c>
      <c r="E54" s="42">
        <v>1</v>
      </c>
      <c r="F54" s="41"/>
      <c r="G54" s="43"/>
      <c r="H54" s="53"/>
      <c r="I54" s="43"/>
      <c r="J54" s="48" t="s">
        <v>135</v>
      </c>
      <c r="K54" s="110">
        <v>0.1</v>
      </c>
      <c r="N54" s="46" t="s">
        <v>70</v>
      </c>
      <c r="O54" s="61" t="s">
        <v>71</v>
      </c>
      <c r="P54" s="58">
        <v>0</v>
      </c>
      <c r="Q54" s="29" t="s">
        <v>45</v>
      </c>
      <c r="R54" s="62"/>
      <c r="S54" s="62"/>
      <c r="T54" s="62"/>
      <c r="U54" s="63" t="e">
        <f>SUM(U51:U53)</f>
        <v>#DIV/0!</v>
      </c>
      <c r="W54" s="46" t="s">
        <v>70</v>
      </c>
      <c r="X54" s="61" t="s">
        <v>67</v>
      </c>
      <c r="Y54" s="58">
        <v>0</v>
      </c>
      <c r="Z54" s="29" t="s">
        <v>45</v>
      </c>
      <c r="AA54" s="30" t="s">
        <v>68</v>
      </c>
      <c r="AB54" s="31">
        <f>Y51*2+Y52*7+Y53*1+Y55*8</f>
        <v>36.228888888888889</v>
      </c>
      <c r="AC54" s="29" t="s">
        <v>57</v>
      </c>
      <c r="AD54" s="32">
        <f>AB54*4/AB51</f>
        <v>0.16843160145878316</v>
      </c>
    </row>
    <row r="55" spans="1:30" ht="16.149999999999999" customHeight="1" x14ac:dyDescent="0.25">
      <c r="A55" s="215" t="s">
        <v>72</v>
      </c>
      <c r="B55" s="130"/>
      <c r="C55" s="20"/>
      <c r="D55" s="41"/>
      <c r="E55" s="42"/>
      <c r="F55" s="41"/>
      <c r="G55" s="43"/>
      <c r="H55" s="53"/>
      <c r="I55" s="43"/>
      <c r="J55" s="48"/>
      <c r="K55" s="60"/>
      <c r="N55" s="26">
        <f>S53</f>
        <v>0</v>
      </c>
      <c r="O55" s="65" t="s">
        <v>73</v>
      </c>
      <c r="P55" s="58">
        <v>0</v>
      </c>
      <c r="Q55" s="29" t="s">
        <v>45</v>
      </c>
      <c r="R55" s="66"/>
      <c r="S55" s="66"/>
      <c r="T55" s="66"/>
      <c r="U55" s="67"/>
      <c r="W55" s="26">
        <f>AB54</f>
        <v>36.228888888888889</v>
      </c>
      <c r="X55" s="61" t="s">
        <v>71</v>
      </c>
      <c r="Y55" s="58">
        <v>0</v>
      </c>
      <c r="Z55" s="29" t="s">
        <v>45</v>
      </c>
      <c r="AA55" s="62"/>
      <c r="AB55" s="62"/>
      <c r="AC55" s="62"/>
      <c r="AD55" s="63">
        <f>SUM(AD52:AD54)</f>
        <v>1</v>
      </c>
    </row>
    <row r="56" spans="1:30" ht="16.149999999999999" customHeight="1" thickBot="1" x14ac:dyDescent="0.3">
      <c r="A56" s="215"/>
      <c r="B56" s="53"/>
      <c r="C56" s="43"/>
      <c r="D56" s="56"/>
      <c r="E56" s="45"/>
      <c r="F56" s="56"/>
      <c r="G56" s="45"/>
      <c r="H56" s="53"/>
      <c r="I56" s="43"/>
      <c r="J56" s="111"/>
      <c r="K56" s="108"/>
      <c r="N56" s="46" t="s">
        <v>74</v>
      </c>
      <c r="O56" s="68" t="s">
        <v>75</v>
      </c>
      <c r="P56" s="69">
        <f>P50*68+P51*73+P52*24+P53*60+P54*112+P55*45</f>
        <v>0</v>
      </c>
      <c r="Q56" s="70" t="s">
        <v>47</v>
      </c>
      <c r="R56" s="71"/>
      <c r="S56" s="71"/>
      <c r="T56" s="71"/>
      <c r="U56" s="72"/>
      <c r="W56" s="46" t="s">
        <v>74</v>
      </c>
      <c r="X56" s="65" t="s">
        <v>73</v>
      </c>
      <c r="Y56" s="58">
        <v>2.4</v>
      </c>
      <c r="Z56" s="29" t="s">
        <v>45</v>
      </c>
      <c r="AA56" s="66"/>
      <c r="AB56" s="66"/>
      <c r="AC56" s="66"/>
      <c r="AD56" s="67"/>
    </row>
    <row r="57" spans="1:30" ht="16.149999999999999" customHeight="1" thickBot="1" x14ac:dyDescent="0.3">
      <c r="A57" s="231"/>
      <c r="B57" s="237" t="s">
        <v>90</v>
      </c>
      <c r="C57" s="233"/>
      <c r="D57" s="232" t="s">
        <v>77</v>
      </c>
      <c r="E57" s="233"/>
      <c r="F57" s="232" t="s">
        <v>267</v>
      </c>
      <c r="G57" s="233"/>
      <c r="H57" s="232" t="s">
        <v>261</v>
      </c>
      <c r="I57" s="233"/>
      <c r="J57" s="232" t="s">
        <v>77</v>
      </c>
      <c r="K57" s="233"/>
      <c r="L57" s="232" t="s">
        <v>79</v>
      </c>
      <c r="M57" s="233"/>
      <c r="N57" s="73">
        <f>P56</f>
        <v>0</v>
      </c>
      <c r="O57" s="74"/>
      <c r="P57" s="75"/>
      <c r="Q57" s="75"/>
      <c r="R57" s="75"/>
      <c r="S57" s="75"/>
      <c r="T57" s="75"/>
      <c r="U57" s="76"/>
      <c r="W57" s="73">
        <f>Y57</f>
        <v>860.38222222222225</v>
      </c>
      <c r="X57" s="68" t="s">
        <v>136</v>
      </c>
      <c r="Y57" s="69">
        <f>Y51*68+Y52*73+Y53*24+Y54*60+Y55*112+Y56*45</f>
        <v>860.38222222222225</v>
      </c>
      <c r="Z57" s="70" t="s">
        <v>137</v>
      </c>
      <c r="AA57" s="71"/>
      <c r="AB57" s="71"/>
      <c r="AC57" s="71"/>
      <c r="AD57" s="72"/>
    </row>
    <row r="58" spans="1:30" ht="16.149999999999999" customHeight="1" thickBot="1" x14ac:dyDescent="0.3">
      <c r="A58" s="214">
        <f>A50+1</f>
        <v>44019</v>
      </c>
      <c r="B58" s="216" t="s">
        <v>138</v>
      </c>
      <c r="C58" s="217"/>
      <c r="D58" s="219" t="s">
        <v>139</v>
      </c>
      <c r="E58" s="220"/>
      <c r="F58" s="216" t="s">
        <v>268</v>
      </c>
      <c r="G58" s="242"/>
      <c r="H58" s="216" t="s">
        <v>140</v>
      </c>
      <c r="I58" s="221"/>
      <c r="J58" s="216" t="s">
        <v>141</v>
      </c>
      <c r="K58" s="242"/>
      <c r="L58" s="216" t="s">
        <v>259</v>
      </c>
      <c r="M58" s="217"/>
      <c r="N58" s="10" t="s">
        <v>142</v>
      </c>
      <c r="O58" s="225" t="s">
        <v>143</v>
      </c>
      <c r="P58" s="226"/>
      <c r="Q58" s="227"/>
      <c r="R58" s="228" t="s">
        <v>144</v>
      </c>
      <c r="S58" s="229"/>
      <c r="T58" s="229"/>
      <c r="U58" s="230"/>
      <c r="W58" s="10" t="s">
        <v>142</v>
      </c>
      <c r="X58" s="225" t="s">
        <v>143</v>
      </c>
      <c r="Y58" s="226"/>
      <c r="Z58" s="227"/>
      <c r="AA58" s="228" t="s">
        <v>144</v>
      </c>
      <c r="AB58" s="229"/>
      <c r="AC58" s="229"/>
      <c r="AD58" s="230"/>
    </row>
    <row r="59" spans="1:30" ht="16.149999999999999" customHeight="1" x14ac:dyDescent="0.25">
      <c r="A59" s="215"/>
      <c r="B59" s="41" t="s">
        <v>145</v>
      </c>
      <c r="C59" s="43">
        <v>75</v>
      </c>
      <c r="D59" s="24" t="s">
        <v>146</v>
      </c>
      <c r="E59" s="131">
        <v>25</v>
      </c>
      <c r="F59" s="128" t="s">
        <v>269</v>
      </c>
      <c r="G59" s="132">
        <v>20</v>
      </c>
      <c r="H59" s="22" t="s">
        <v>147</v>
      </c>
      <c r="I59" s="23">
        <v>120</v>
      </c>
      <c r="J59" s="24" t="s">
        <v>148</v>
      </c>
      <c r="K59" s="25">
        <v>5</v>
      </c>
      <c r="L59" s="122" t="s">
        <v>54</v>
      </c>
      <c r="M59" s="25">
        <v>140</v>
      </c>
      <c r="N59" s="26">
        <f>S60</f>
        <v>113.4</v>
      </c>
      <c r="O59" s="11" t="s">
        <v>44</v>
      </c>
      <c r="P59" s="58">
        <f>M59/20+M60/55</f>
        <v>7</v>
      </c>
      <c r="Q59" s="13" t="s">
        <v>149</v>
      </c>
      <c r="R59" s="79" t="s">
        <v>150</v>
      </c>
      <c r="S59" s="80">
        <f>P65</f>
        <v>829.23517965367967</v>
      </c>
      <c r="T59" s="81" t="s">
        <v>137</v>
      </c>
      <c r="U59" s="82" t="s">
        <v>151</v>
      </c>
      <c r="W59" s="26">
        <f>AB60</f>
        <v>126.60559440559442</v>
      </c>
      <c r="X59" s="11" t="s">
        <v>44</v>
      </c>
      <c r="Y59" s="12">
        <f>M59/20+E59/65+E64/55+G59/2/30</f>
        <v>7.8270396270396274</v>
      </c>
      <c r="Z59" s="13" t="s">
        <v>152</v>
      </c>
      <c r="AA59" s="79" t="s">
        <v>153</v>
      </c>
      <c r="AB59" s="80">
        <f>Y65</f>
        <v>892.97012321012323</v>
      </c>
      <c r="AC59" s="81" t="s">
        <v>47</v>
      </c>
      <c r="AD59" s="82" t="s">
        <v>48</v>
      </c>
    </row>
    <row r="60" spans="1:30" ht="16.149999999999999" customHeight="1" x14ac:dyDescent="0.25">
      <c r="A60" s="215"/>
      <c r="B60" s="59" t="s">
        <v>96</v>
      </c>
      <c r="C60" s="60">
        <v>10</v>
      </c>
      <c r="D60" s="41" t="s">
        <v>154</v>
      </c>
      <c r="E60" s="42">
        <v>15</v>
      </c>
      <c r="F60" s="133" t="s">
        <v>254</v>
      </c>
      <c r="G60" s="134">
        <v>10</v>
      </c>
      <c r="H60" s="41"/>
      <c r="I60" s="42"/>
      <c r="J60" s="41" t="s">
        <v>60</v>
      </c>
      <c r="K60" s="43">
        <v>1</v>
      </c>
      <c r="L60" s="56"/>
      <c r="M60" s="45"/>
      <c r="N60" s="46" t="s">
        <v>62</v>
      </c>
      <c r="O60" s="27" t="s">
        <v>55</v>
      </c>
      <c r="P60" s="28">
        <f>C59/35+E59/80+E60/225+E63/35+G60/55+K60*0.52/40</f>
        <v>2.7454134199134197</v>
      </c>
      <c r="Q60" s="29" t="s">
        <v>45</v>
      </c>
      <c r="R60" s="30" t="s">
        <v>56</v>
      </c>
      <c r="S60" s="31">
        <f>P59*15+P61*5+P62*15+P63*12</f>
        <v>113.4</v>
      </c>
      <c r="T60" s="29" t="s">
        <v>57</v>
      </c>
      <c r="U60" s="32">
        <f>S60*4/S59</f>
        <v>0.5470100776349609</v>
      </c>
      <c r="W60" s="46" t="s">
        <v>62</v>
      </c>
      <c r="X60" s="27" t="s">
        <v>55</v>
      </c>
      <c r="Y60" s="28">
        <f>C59/35+E62/35+G59/2/35</f>
        <v>2.8571428571428568</v>
      </c>
      <c r="Z60" s="29" t="s">
        <v>45</v>
      </c>
      <c r="AA60" s="30" t="s">
        <v>56</v>
      </c>
      <c r="AB60" s="31">
        <f>Y59*15+Y61*5+Y62*15+Y63*12</f>
        <v>126.60559440559442</v>
      </c>
      <c r="AC60" s="29" t="s">
        <v>57</v>
      </c>
      <c r="AD60" s="32">
        <f>AB60*4/AB59</f>
        <v>0.56712130054457854</v>
      </c>
    </row>
    <row r="61" spans="1:30" ht="16.149999999999999" customHeight="1" x14ac:dyDescent="0.25">
      <c r="A61" s="215"/>
      <c r="B61" s="41" t="s">
        <v>84</v>
      </c>
      <c r="C61" s="45">
        <v>3</v>
      </c>
      <c r="D61" s="44" t="s">
        <v>84</v>
      </c>
      <c r="E61" s="45">
        <v>8</v>
      </c>
      <c r="F61" s="41" t="s">
        <v>270</v>
      </c>
      <c r="G61" s="45">
        <v>8</v>
      </c>
      <c r="H61" s="53"/>
      <c r="I61" s="43"/>
      <c r="J61" s="54"/>
      <c r="K61" s="55"/>
      <c r="L61" s="41"/>
      <c r="M61" s="110"/>
      <c r="N61" s="26">
        <f>S61</f>
        <v>26.227067099567098</v>
      </c>
      <c r="O61" s="47" t="s">
        <v>63</v>
      </c>
      <c r="P61" s="28">
        <f>(E60+E61+G59+I59+I60+K59)/100</f>
        <v>1.68</v>
      </c>
      <c r="Q61" s="29" t="s">
        <v>45</v>
      </c>
      <c r="R61" s="30" t="s">
        <v>64</v>
      </c>
      <c r="S61" s="31">
        <f>P60*5+P63*4+P64*5</f>
        <v>26.227067099567098</v>
      </c>
      <c r="T61" s="29" t="s">
        <v>57</v>
      </c>
      <c r="U61" s="32">
        <f>S61*9/S59</f>
        <v>0.28465218274348264</v>
      </c>
      <c r="W61" s="26">
        <f>AB61</f>
        <v>26.285714285714285</v>
      </c>
      <c r="X61" s="47" t="s">
        <v>63</v>
      </c>
      <c r="Y61" s="28">
        <f>(C60+C61+E61+E60+G60+G61+G62+I59+K59)/100</f>
        <v>1.84</v>
      </c>
      <c r="Z61" s="29" t="s">
        <v>45</v>
      </c>
      <c r="AA61" s="30" t="s">
        <v>64</v>
      </c>
      <c r="AB61" s="31">
        <f>Y60*5+Y63*4+Y64*5</f>
        <v>26.285714285714285</v>
      </c>
      <c r="AC61" s="29" t="s">
        <v>57</v>
      </c>
      <c r="AD61" s="32">
        <f>AB61*9/AB59</f>
        <v>0.26492647673472203</v>
      </c>
    </row>
    <row r="62" spans="1:30" ht="16.149999999999999" customHeight="1" x14ac:dyDescent="0.25">
      <c r="A62" s="215"/>
      <c r="B62" s="41" t="s">
        <v>65</v>
      </c>
      <c r="C62" s="43">
        <v>1</v>
      </c>
      <c r="D62" s="41" t="s">
        <v>155</v>
      </c>
      <c r="E62" s="42">
        <v>15</v>
      </c>
      <c r="F62" s="44" t="s">
        <v>253</v>
      </c>
      <c r="G62" s="45">
        <v>5</v>
      </c>
      <c r="H62" s="53"/>
      <c r="I62" s="43"/>
      <c r="J62" s="41"/>
      <c r="K62" s="45"/>
      <c r="L62" s="44"/>
      <c r="M62" s="116"/>
      <c r="N62" s="46" t="s">
        <v>70</v>
      </c>
      <c r="O62" s="57" t="s">
        <v>67</v>
      </c>
      <c r="P62" s="58">
        <v>0</v>
      </c>
      <c r="Q62" s="29" t="s">
        <v>45</v>
      </c>
      <c r="R62" s="30" t="s">
        <v>68</v>
      </c>
      <c r="S62" s="31">
        <f>P59*2+P60*7+P61*1+P63*8</f>
        <v>34.897893939393938</v>
      </c>
      <c r="T62" s="29" t="s">
        <v>57</v>
      </c>
      <c r="U62" s="32">
        <f>S62*4/S59</f>
        <v>0.16833773962155649</v>
      </c>
      <c r="W62" s="46" t="s">
        <v>70</v>
      </c>
      <c r="X62" s="61" t="s">
        <v>67</v>
      </c>
      <c r="Y62" s="58">
        <v>0</v>
      </c>
      <c r="Z62" s="29" t="s">
        <v>45</v>
      </c>
      <c r="AA62" s="30" t="s">
        <v>68</v>
      </c>
      <c r="AB62" s="31">
        <f>Y59*2+Y60*7+Y61*1+Y63*8</f>
        <v>37.494079254079253</v>
      </c>
      <c r="AC62" s="29" t="s">
        <v>57</v>
      </c>
      <c r="AD62" s="32">
        <f>AB62*4/AB59</f>
        <v>0.1679522227206994</v>
      </c>
    </row>
    <row r="63" spans="1:30" ht="16.149999999999999" customHeight="1" x14ac:dyDescent="0.25">
      <c r="A63" s="215" t="s">
        <v>88</v>
      </c>
      <c r="B63" s="93"/>
      <c r="C63" s="94"/>
      <c r="D63" s="41" t="s">
        <v>156</v>
      </c>
      <c r="E63" s="42">
        <v>1</v>
      </c>
      <c r="F63" s="44"/>
      <c r="G63" s="45"/>
      <c r="H63" s="53"/>
      <c r="I63" s="43"/>
      <c r="J63" s="53"/>
      <c r="K63" s="45"/>
      <c r="L63" s="44"/>
      <c r="M63" s="116"/>
      <c r="N63" s="26">
        <f>S62</f>
        <v>34.897893939393938</v>
      </c>
      <c r="O63" s="61" t="s">
        <v>71</v>
      </c>
      <c r="P63" s="58">
        <v>0</v>
      </c>
      <c r="Q63" s="29" t="s">
        <v>45</v>
      </c>
      <c r="R63" s="62"/>
      <c r="S63" s="62"/>
      <c r="T63" s="62"/>
      <c r="U63" s="63">
        <f>SUM(U60:U62)</f>
        <v>1</v>
      </c>
      <c r="W63" s="26">
        <f>AB62</f>
        <v>37.494079254079253</v>
      </c>
      <c r="X63" s="61" t="s">
        <v>71</v>
      </c>
      <c r="Y63" s="58">
        <v>0</v>
      </c>
      <c r="Z63" s="29" t="s">
        <v>45</v>
      </c>
      <c r="AA63" s="62"/>
      <c r="AB63" s="62"/>
      <c r="AC63" s="62"/>
      <c r="AD63" s="63">
        <f>SUM(AD60:AD62)</f>
        <v>1</v>
      </c>
    </row>
    <row r="64" spans="1:30" ht="16.149999999999999" customHeight="1" x14ac:dyDescent="0.25">
      <c r="A64" s="215"/>
      <c r="B64" s="93"/>
      <c r="C64" s="94"/>
      <c r="D64" s="41" t="s">
        <v>157</v>
      </c>
      <c r="E64" s="42">
        <v>6</v>
      </c>
      <c r="F64" s="56"/>
      <c r="G64" s="45"/>
      <c r="H64" s="53"/>
      <c r="I64" s="43"/>
      <c r="J64" s="53"/>
      <c r="K64" s="43"/>
      <c r="L64" s="44"/>
      <c r="M64" s="116"/>
      <c r="N64" s="46" t="s">
        <v>74</v>
      </c>
      <c r="O64" s="65" t="s">
        <v>73</v>
      </c>
      <c r="P64" s="58">
        <v>2.5</v>
      </c>
      <c r="Q64" s="29" t="s">
        <v>45</v>
      </c>
      <c r="R64" s="66"/>
      <c r="S64" s="66"/>
      <c r="T64" s="66"/>
      <c r="U64" s="67"/>
      <c r="W64" s="46" t="s">
        <v>74</v>
      </c>
      <c r="X64" s="65" t="s">
        <v>73</v>
      </c>
      <c r="Y64" s="58">
        <v>2.4</v>
      </c>
      <c r="Z64" s="29" t="s">
        <v>45</v>
      </c>
      <c r="AA64" s="66"/>
      <c r="AB64" s="66"/>
      <c r="AC64" s="66"/>
      <c r="AD64" s="67"/>
    </row>
    <row r="65" spans="1:30" ht="16.149999999999999" customHeight="1" thickBot="1" x14ac:dyDescent="0.3">
      <c r="A65" s="231"/>
      <c r="B65" s="232" t="s">
        <v>76</v>
      </c>
      <c r="C65" s="233"/>
      <c r="D65" s="232" t="s">
        <v>76</v>
      </c>
      <c r="E65" s="233"/>
      <c r="F65" s="232" t="s">
        <v>258</v>
      </c>
      <c r="G65" s="233"/>
      <c r="H65" s="232" t="s">
        <v>78</v>
      </c>
      <c r="I65" s="233"/>
      <c r="J65" s="232" t="s">
        <v>77</v>
      </c>
      <c r="K65" s="233"/>
      <c r="L65" s="232" t="s">
        <v>79</v>
      </c>
      <c r="M65" s="233"/>
      <c r="N65" s="73">
        <f>P65</f>
        <v>829.23517965367967</v>
      </c>
      <c r="O65" s="68" t="s">
        <v>75</v>
      </c>
      <c r="P65" s="69">
        <f>P59*68+P60*73+P61*24+P62*60+P63*112+P64*45</f>
        <v>829.23517965367967</v>
      </c>
      <c r="Q65" s="70" t="s">
        <v>47</v>
      </c>
      <c r="R65" s="71"/>
      <c r="S65" s="71"/>
      <c r="T65" s="71"/>
      <c r="U65" s="72"/>
      <c r="W65" s="73">
        <f>Y65</f>
        <v>892.97012321012323</v>
      </c>
      <c r="X65" s="68" t="s">
        <v>75</v>
      </c>
      <c r="Y65" s="69">
        <f>Y59*68+Y60*73+Y61*24+Y62*60+Y63*112+Y64*45</f>
        <v>892.97012321012323</v>
      </c>
      <c r="Z65" s="70" t="s">
        <v>47</v>
      </c>
      <c r="AA65" s="71"/>
      <c r="AB65" s="71"/>
      <c r="AC65" s="71"/>
      <c r="AD65" s="72"/>
    </row>
    <row r="66" spans="1:30" ht="16.149999999999999" customHeight="1" thickBot="1" x14ac:dyDescent="0.3">
      <c r="A66" s="214">
        <f>A58+1</f>
        <v>44020</v>
      </c>
      <c r="B66" s="219" t="s">
        <v>190</v>
      </c>
      <c r="C66" s="220"/>
      <c r="D66" s="219" t="s">
        <v>271</v>
      </c>
      <c r="E66" s="220"/>
      <c r="F66" s="216" t="s">
        <v>272</v>
      </c>
      <c r="G66" s="242"/>
      <c r="H66" s="216" t="s">
        <v>132</v>
      </c>
      <c r="I66" s="221"/>
      <c r="J66" s="216" t="s">
        <v>194</v>
      </c>
      <c r="K66" s="242"/>
      <c r="L66" s="216" t="s">
        <v>259</v>
      </c>
      <c r="M66" s="217"/>
      <c r="N66" s="10" t="s">
        <v>43</v>
      </c>
      <c r="O66" s="225" t="s">
        <v>49</v>
      </c>
      <c r="P66" s="226"/>
      <c r="Q66" s="227"/>
      <c r="R66" s="228" t="s">
        <v>50</v>
      </c>
      <c r="S66" s="229"/>
      <c r="T66" s="229"/>
      <c r="U66" s="230"/>
      <c r="W66" s="10" t="s">
        <v>43</v>
      </c>
      <c r="X66" s="225" t="s">
        <v>49</v>
      </c>
      <c r="Y66" s="226"/>
      <c r="Z66" s="227"/>
      <c r="AA66" s="228" t="s">
        <v>50</v>
      </c>
      <c r="AB66" s="229"/>
      <c r="AC66" s="229"/>
      <c r="AD66" s="230"/>
    </row>
    <row r="67" spans="1:30" ht="16.149999999999999" customHeight="1" x14ac:dyDescent="0.25">
      <c r="A67" s="215"/>
      <c r="B67" s="44" t="s">
        <v>191</v>
      </c>
      <c r="C67" s="37">
        <v>120</v>
      </c>
      <c r="D67" s="34" t="s">
        <v>273</v>
      </c>
      <c r="E67" s="35">
        <v>40</v>
      </c>
      <c r="F67" s="128" t="s">
        <v>274</v>
      </c>
      <c r="G67" s="132">
        <v>20</v>
      </c>
      <c r="H67" s="128" t="s">
        <v>109</v>
      </c>
      <c r="I67" s="135">
        <v>120</v>
      </c>
      <c r="J67" s="128" t="s">
        <v>196</v>
      </c>
      <c r="K67" s="135">
        <v>20</v>
      </c>
      <c r="L67" s="122" t="s">
        <v>54</v>
      </c>
      <c r="M67" s="25">
        <v>130</v>
      </c>
      <c r="N67" s="26">
        <f>S68</f>
        <v>108.7</v>
      </c>
      <c r="O67" s="11" t="s">
        <v>44</v>
      </c>
      <c r="P67" s="12">
        <f>M67/20+E69/2/30</f>
        <v>6.5166666666666666</v>
      </c>
      <c r="Q67" s="13" t="s">
        <v>45</v>
      </c>
      <c r="R67" s="79" t="s">
        <v>46</v>
      </c>
      <c r="S67" s="80" t="e">
        <f>P73</f>
        <v>#REF!</v>
      </c>
      <c r="T67" s="81" t="s">
        <v>47</v>
      </c>
      <c r="U67" s="102"/>
      <c r="W67" s="26">
        <f>AB68</f>
        <v>121.3</v>
      </c>
      <c r="X67" s="11" t="s">
        <v>44</v>
      </c>
      <c r="Y67" s="12">
        <f>M67/20+K67/20</f>
        <v>7.5</v>
      </c>
      <c r="Z67" s="13" t="s">
        <v>45</v>
      </c>
      <c r="AA67" s="79" t="s">
        <v>46</v>
      </c>
      <c r="AB67" s="80">
        <f>Y73</f>
        <v>855.68090909090915</v>
      </c>
      <c r="AC67" s="81" t="s">
        <v>47</v>
      </c>
      <c r="AD67" s="102"/>
    </row>
    <row r="68" spans="1:30" ht="16.149999999999999" customHeight="1" x14ac:dyDescent="0.25">
      <c r="A68" s="215"/>
      <c r="B68" s="103" t="s">
        <v>83</v>
      </c>
      <c r="C68" s="137">
        <v>0.4</v>
      </c>
      <c r="D68" s="48" t="s">
        <v>158</v>
      </c>
      <c r="E68" s="49">
        <v>15</v>
      </c>
      <c r="F68" s="133" t="s">
        <v>275</v>
      </c>
      <c r="G68" s="134">
        <v>15</v>
      </c>
      <c r="H68" s="53"/>
      <c r="I68" s="138"/>
      <c r="J68" s="59" t="s">
        <v>195</v>
      </c>
      <c r="K68" s="60" t="s">
        <v>193</v>
      </c>
      <c r="L68" s="56"/>
      <c r="M68" s="45"/>
      <c r="N68" s="46" t="s">
        <v>62</v>
      </c>
      <c r="O68" s="27" t="s">
        <v>55</v>
      </c>
      <c r="P68" s="28" t="e">
        <f>C67*0.92/35+#REF!/35+E69/2/35+G69/35+K68/35</f>
        <v>#REF!</v>
      </c>
      <c r="Q68" s="29" t="s">
        <v>45</v>
      </c>
      <c r="R68" s="30" t="s">
        <v>56</v>
      </c>
      <c r="S68" s="31">
        <f>P67*15+P69*5+P70*15+P71*12</f>
        <v>108.7</v>
      </c>
      <c r="T68" s="29" t="s">
        <v>57</v>
      </c>
      <c r="U68" s="32" t="e">
        <f>S68*4/S67</f>
        <v>#REF!</v>
      </c>
      <c r="W68" s="46" t="s">
        <v>62</v>
      </c>
      <c r="X68" s="27" t="s">
        <v>55</v>
      </c>
      <c r="Y68" s="28">
        <f>C67*0.6/40+E67/55+G70/40</f>
        <v>2.6772727272727272</v>
      </c>
      <c r="Z68" s="29" t="s">
        <v>45</v>
      </c>
      <c r="AA68" s="30" t="s">
        <v>56</v>
      </c>
      <c r="AB68" s="31">
        <f>Y67*15+Y69*5+Y70*15+Y71*12</f>
        <v>121.3</v>
      </c>
      <c r="AC68" s="29" t="s">
        <v>57</v>
      </c>
      <c r="AD68" s="32">
        <f>AB68*4/AB67</f>
        <v>0.56703380295755956</v>
      </c>
    </row>
    <row r="69" spans="1:30" ht="16.149999999999999" customHeight="1" x14ac:dyDescent="0.25">
      <c r="A69" s="215"/>
      <c r="B69" s="44"/>
      <c r="C69" s="37"/>
      <c r="D69" s="44" t="s">
        <v>276</v>
      </c>
      <c r="E69" s="45">
        <v>1</v>
      </c>
      <c r="F69" s="41" t="s">
        <v>253</v>
      </c>
      <c r="G69" s="45">
        <v>3</v>
      </c>
      <c r="H69" s="44"/>
      <c r="I69" s="45"/>
      <c r="J69" s="56"/>
      <c r="K69" s="45"/>
      <c r="L69" s="41"/>
      <c r="M69" s="110"/>
      <c r="N69" s="26" t="e">
        <f>S69</f>
        <v>#REF!</v>
      </c>
      <c r="O69" s="47" t="s">
        <v>63</v>
      </c>
      <c r="P69" s="28">
        <f>(K69+I67+G67+G68+G70+G71+E67+E68+E71+E72)/100</f>
        <v>2.19</v>
      </c>
      <c r="Q69" s="29" t="s">
        <v>45</v>
      </c>
      <c r="R69" s="30" t="s">
        <v>64</v>
      </c>
      <c r="S69" s="31" t="e">
        <f>P68*5+P71*4+P72*5</f>
        <v>#REF!</v>
      </c>
      <c r="T69" s="29" t="s">
        <v>57</v>
      </c>
      <c r="U69" s="32" t="e">
        <f>S69*9/S67</f>
        <v>#REF!</v>
      </c>
      <c r="W69" s="26">
        <f>AB69</f>
        <v>25.386363636363637</v>
      </c>
      <c r="X69" s="139" t="s">
        <v>63</v>
      </c>
      <c r="Y69" s="28">
        <f>(E68+G67+G68+G69+G71+I67)/100</f>
        <v>1.76</v>
      </c>
      <c r="Z69" s="29" t="s">
        <v>45</v>
      </c>
      <c r="AA69" s="30" t="s">
        <v>64</v>
      </c>
      <c r="AB69" s="31">
        <f>Y68*5+Y71*4+Y72*5</f>
        <v>25.386363636363637</v>
      </c>
      <c r="AC69" s="29" t="s">
        <v>57</v>
      </c>
      <c r="AD69" s="32">
        <f>AB69*9/AB67</f>
        <v>0.26701223586957329</v>
      </c>
    </row>
    <row r="70" spans="1:30" ht="16.149999999999999" customHeight="1" x14ac:dyDescent="0.25">
      <c r="A70" s="215"/>
      <c r="B70" s="41"/>
      <c r="C70" s="43"/>
      <c r="D70" s="44"/>
      <c r="E70" s="45"/>
      <c r="F70" s="44" t="s">
        <v>277</v>
      </c>
      <c r="G70" s="45">
        <v>6</v>
      </c>
      <c r="H70" s="53"/>
      <c r="I70" s="140"/>
      <c r="J70" s="56"/>
      <c r="K70" s="45"/>
      <c r="L70" s="44"/>
      <c r="M70" s="116"/>
      <c r="N70" s="46" t="s">
        <v>70</v>
      </c>
      <c r="O70" s="57" t="s">
        <v>67</v>
      </c>
      <c r="P70" s="58">
        <v>0</v>
      </c>
      <c r="Q70" s="29" t="s">
        <v>45</v>
      </c>
      <c r="R70" s="30" t="s">
        <v>68</v>
      </c>
      <c r="S70" s="31" t="e">
        <f>P67*2+P68*7+P69*1+P71*8</f>
        <v>#REF!</v>
      </c>
      <c r="T70" s="29" t="s">
        <v>57</v>
      </c>
      <c r="U70" s="32" t="e">
        <f>S70*4/S67</f>
        <v>#REF!</v>
      </c>
      <c r="W70" s="46" t="s">
        <v>70</v>
      </c>
      <c r="X70" s="61" t="s">
        <v>67</v>
      </c>
      <c r="Y70" s="58">
        <v>0</v>
      </c>
      <c r="Z70" s="29" t="s">
        <v>45</v>
      </c>
      <c r="AA70" s="30" t="s">
        <v>68</v>
      </c>
      <c r="AB70" s="31">
        <f>Y67*2+Y68*7+Y69*1+Y71*8</f>
        <v>35.50090909090909</v>
      </c>
      <c r="AC70" s="29" t="s">
        <v>57</v>
      </c>
      <c r="AD70" s="32">
        <f>AB70*4/AB67</f>
        <v>0.16595396117286709</v>
      </c>
    </row>
    <row r="71" spans="1:30" ht="16.149999999999999" customHeight="1" x14ac:dyDescent="0.25">
      <c r="A71" s="215" t="s">
        <v>106</v>
      </c>
      <c r="B71" s="53"/>
      <c r="C71" s="43"/>
      <c r="D71" s="56"/>
      <c r="E71" s="45"/>
      <c r="F71" s="44" t="s">
        <v>256</v>
      </c>
      <c r="G71" s="45">
        <v>3</v>
      </c>
      <c r="H71" s="53"/>
      <c r="I71" s="140"/>
      <c r="J71" s="44"/>
      <c r="K71" s="45"/>
      <c r="L71" s="44"/>
      <c r="M71" s="116"/>
      <c r="N71" s="26" t="e">
        <f>S70</f>
        <v>#REF!</v>
      </c>
      <c r="O71" s="61" t="s">
        <v>71</v>
      </c>
      <c r="P71" s="58">
        <v>0</v>
      </c>
      <c r="Q71" s="29" t="s">
        <v>45</v>
      </c>
      <c r="R71" s="62"/>
      <c r="S71" s="62"/>
      <c r="T71" s="62"/>
      <c r="U71" s="63" t="e">
        <f>SUM(U68:U70)</f>
        <v>#REF!</v>
      </c>
      <c r="W71" s="26">
        <f>AB70</f>
        <v>35.50090909090909</v>
      </c>
      <c r="X71" s="61" t="s">
        <v>71</v>
      </c>
      <c r="Y71" s="58">
        <v>0</v>
      </c>
      <c r="Z71" s="29" t="s">
        <v>45</v>
      </c>
      <c r="AA71" s="62"/>
      <c r="AB71" s="62"/>
      <c r="AC71" s="62"/>
      <c r="AD71" s="63">
        <f>SUM(AD68:AD70)</f>
        <v>1</v>
      </c>
    </row>
    <row r="72" spans="1:30" ht="16.149999999999999" customHeight="1" x14ac:dyDescent="0.25">
      <c r="A72" s="215"/>
      <c r="B72" s="53"/>
      <c r="C72" s="43"/>
      <c r="D72" s="56"/>
      <c r="E72" s="45"/>
      <c r="F72" s="56"/>
      <c r="G72" s="45"/>
      <c r="H72" s="56"/>
      <c r="I72" s="141"/>
      <c r="J72" s="56"/>
      <c r="K72" s="45"/>
      <c r="L72" s="44"/>
      <c r="M72" s="116"/>
      <c r="N72" s="46" t="s">
        <v>74</v>
      </c>
      <c r="O72" s="65" t="s">
        <v>73</v>
      </c>
      <c r="P72" s="58">
        <v>2.5</v>
      </c>
      <c r="Q72" s="29" t="s">
        <v>45</v>
      </c>
      <c r="R72" s="66"/>
      <c r="S72" s="66"/>
      <c r="T72" s="66"/>
      <c r="U72" s="67"/>
      <c r="W72" s="46" t="s">
        <v>74</v>
      </c>
      <c r="X72" s="65" t="s">
        <v>73</v>
      </c>
      <c r="Y72" s="58">
        <v>2.4</v>
      </c>
      <c r="Z72" s="29" t="s">
        <v>45</v>
      </c>
      <c r="AA72" s="66"/>
      <c r="AB72" s="66"/>
      <c r="AC72" s="66"/>
      <c r="AD72" s="67"/>
    </row>
    <row r="73" spans="1:30" ht="16.149999999999999" customHeight="1" thickBot="1" x14ac:dyDescent="0.3">
      <c r="A73" s="231"/>
      <c r="B73" s="232" t="s">
        <v>192</v>
      </c>
      <c r="C73" s="233"/>
      <c r="D73" s="232" t="s">
        <v>258</v>
      </c>
      <c r="E73" s="233"/>
      <c r="F73" s="232" t="s">
        <v>258</v>
      </c>
      <c r="G73" s="233"/>
      <c r="H73" s="232" t="s">
        <v>78</v>
      </c>
      <c r="I73" s="233"/>
      <c r="J73" s="232" t="s">
        <v>77</v>
      </c>
      <c r="K73" s="233"/>
      <c r="L73" s="232" t="s">
        <v>79</v>
      </c>
      <c r="M73" s="233"/>
      <c r="N73" s="73" t="e">
        <f>P73</f>
        <v>#REF!</v>
      </c>
      <c r="O73" s="68" t="s">
        <v>75</v>
      </c>
      <c r="P73" s="69" t="e">
        <f>P67*68+P68*73+P69*24+P70*60+P71*112+P72*45</f>
        <v>#REF!</v>
      </c>
      <c r="Q73" s="70" t="s">
        <v>47</v>
      </c>
      <c r="R73" s="71"/>
      <c r="S73" s="71"/>
      <c r="T73" s="71"/>
      <c r="U73" s="72"/>
      <c r="W73" s="73">
        <f>Y73</f>
        <v>855.68090909090915</v>
      </c>
      <c r="X73" s="68" t="s">
        <v>75</v>
      </c>
      <c r="Y73" s="69">
        <f>Y67*68+Y68*73+Y69*24+Y70*60+Y71*112+Y72*45</f>
        <v>855.68090909090915</v>
      </c>
      <c r="Z73" s="70" t="s">
        <v>47</v>
      </c>
      <c r="AA73" s="71"/>
      <c r="AB73" s="71"/>
      <c r="AC73" s="71"/>
      <c r="AD73" s="72"/>
    </row>
    <row r="74" spans="1:30" ht="16.149999999999999" customHeight="1" thickBot="1" x14ac:dyDescent="0.3">
      <c r="A74" s="214">
        <f>A66+1</f>
        <v>44021</v>
      </c>
      <c r="B74" s="216" t="s">
        <v>159</v>
      </c>
      <c r="C74" s="242"/>
      <c r="D74" s="239" t="s">
        <v>160</v>
      </c>
      <c r="E74" s="217"/>
      <c r="F74" s="239" t="s">
        <v>281</v>
      </c>
      <c r="G74" s="217"/>
      <c r="H74" s="216" t="s">
        <v>132</v>
      </c>
      <c r="I74" s="221"/>
      <c r="J74" s="216" t="s">
        <v>161</v>
      </c>
      <c r="K74" s="242"/>
      <c r="L74" s="223" t="s">
        <v>108</v>
      </c>
      <c r="M74" s="224"/>
      <c r="N74" s="10" t="s">
        <v>43</v>
      </c>
      <c r="O74" s="225" t="s">
        <v>49</v>
      </c>
      <c r="P74" s="226"/>
      <c r="Q74" s="227"/>
      <c r="R74" s="228" t="s">
        <v>50</v>
      </c>
      <c r="S74" s="229"/>
      <c r="T74" s="229"/>
      <c r="U74" s="230"/>
      <c r="W74" s="10" t="s">
        <v>43</v>
      </c>
      <c r="X74" s="225" t="s">
        <v>49</v>
      </c>
      <c r="Y74" s="226"/>
      <c r="Z74" s="227"/>
      <c r="AA74" s="228" t="s">
        <v>50</v>
      </c>
      <c r="AB74" s="229"/>
      <c r="AC74" s="229"/>
      <c r="AD74" s="230"/>
    </row>
    <row r="75" spans="1:30" ht="16.149999999999999" customHeight="1" x14ac:dyDescent="0.25">
      <c r="A75" s="215"/>
      <c r="B75" s="41" t="s">
        <v>162</v>
      </c>
      <c r="C75" s="45">
        <v>70</v>
      </c>
      <c r="D75" s="98" t="s">
        <v>155</v>
      </c>
      <c r="E75" s="60">
        <v>12</v>
      </c>
      <c r="F75" s="39" t="s">
        <v>163</v>
      </c>
      <c r="G75" s="43">
        <v>20</v>
      </c>
      <c r="H75" s="128" t="s">
        <v>53</v>
      </c>
      <c r="I75" s="142">
        <v>100</v>
      </c>
      <c r="J75" s="24" t="s">
        <v>164</v>
      </c>
      <c r="K75" s="25">
        <v>10</v>
      </c>
      <c r="L75" s="56" t="s">
        <v>54</v>
      </c>
      <c r="M75" s="25">
        <v>110</v>
      </c>
      <c r="N75" s="26">
        <f>S76</f>
        <v>93.614285714285728</v>
      </c>
      <c r="O75" s="11" t="s">
        <v>44</v>
      </c>
      <c r="P75" s="12">
        <f>M75/20+K77/70</f>
        <v>5.7142857142857144</v>
      </c>
      <c r="Q75" s="13" t="s">
        <v>45</v>
      </c>
      <c r="R75" s="79" t="s">
        <v>46</v>
      </c>
      <c r="S75" s="80">
        <f>P81</f>
        <v>666.81727272727267</v>
      </c>
      <c r="T75" s="81" t="s">
        <v>47</v>
      </c>
      <c r="U75" s="82" t="s">
        <v>48</v>
      </c>
      <c r="W75" s="26">
        <f>AB76</f>
        <v>124.88571428571427</v>
      </c>
      <c r="X75" s="11" t="s">
        <v>44</v>
      </c>
      <c r="Y75" s="12">
        <f>M75/20+M76/20+G75/70</f>
        <v>7.7857142857142856</v>
      </c>
      <c r="Z75" s="13" t="s">
        <v>45</v>
      </c>
      <c r="AA75" s="79" t="s">
        <v>46</v>
      </c>
      <c r="AB75" s="80">
        <f>Y81</f>
        <v>885.49623376623379</v>
      </c>
      <c r="AC75" s="81" t="s">
        <v>47</v>
      </c>
      <c r="AD75" s="82" t="s">
        <v>48</v>
      </c>
    </row>
    <row r="76" spans="1:30" ht="16.149999999999999" customHeight="1" x14ac:dyDescent="0.25">
      <c r="A76" s="215"/>
      <c r="B76" s="91" t="s">
        <v>83</v>
      </c>
      <c r="C76" s="92">
        <v>0</v>
      </c>
      <c r="D76" s="59" t="s">
        <v>119</v>
      </c>
      <c r="E76" s="60">
        <v>12</v>
      </c>
      <c r="F76" s="39" t="s">
        <v>66</v>
      </c>
      <c r="G76" s="43">
        <v>10</v>
      </c>
      <c r="H76" s="59"/>
      <c r="I76" s="60"/>
      <c r="J76" s="41" t="s">
        <v>165</v>
      </c>
      <c r="K76" s="43">
        <v>5</v>
      </c>
      <c r="L76" s="56" t="s">
        <v>110</v>
      </c>
      <c r="M76" s="45">
        <v>40</v>
      </c>
      <c r="N76" s="46" t="s">
        <v>62</v>
      </c>
      <c r="O76" s="27" t="s">
        <v>55</v>
      </c>
      <c r="P76" s="28">
        <f>C75*0.68/40+E75/55+E76/35</f>
        <v>1.7510389610389612</v>
      </c>
      <c r="Q76" s="29" t="s">
        <v>45</v>
      </c>
      <c r="R76" s="30" t="s">
        <v>56</v>
      </c>
      <c r="S76" s="31">
        <f>P75*15+P77*5+P78*15+P79*12</f>
        <v>93.614285714285728</v>
      </c>
      <c r="T76" s="29" t="s">
        <v>57</v>
      </c>
      <c r="U76" s="32">
        <f>S76*4/S75</f>
        <v>0.56155885303573316</v>
      </c>
      <c r="W76" s="46" t="s">
        <v>62</v>
      </c>
      <c r="X76" s="27" t="s">
        <v>55</v>
      </c>
      <c r="Y76" s="28">
        <f>C75/35+E75/35+E79/40+K77/55</f>
        <v>2.8655844155844159</v>
      </c>
      <c r="Z76" s="29" t="s">
        <v>45</v>
      </c>
      <c r="AA76" s="30" t="s">
        <v>56</v>
      </c>
      <c r="AB76" s="31">
        <f>Y75*15+Y77*5+Y78*15+Y79*12</f>
        <v>124.88571428571427</v>
      </c>
      <c r="AC76" s="29" t="s">
        <v>57</v>
      </c>
      <c r="AD76" s="32">
        <f>AB76*4/AB75</f>
        <v>0.56413888404491364</v>
      </c>
    </row>
    <row r="77" spans="1:30" ht="16.149999999999999" customHeight="1" x14ac:dyDescent="0.25">
      <c r="A77" s="215"/>
      <c r="B77" s="44"/>
      <c r="C77" s="37"/>
      <c r="D77" s="39" t="s">
        <v>96</v>
      </c>
      <c r="E77" s="43">
        <v>12</v>
      </c>
      <c r="F77" s="44" t="s">
        <v>89</v>
      </c>
      <c r="G77" s="43">
        <v>5</v>
      </c>
      <c r="H77" s="39"/>
      <c r="I77" s="43"/>
      <c r="J77" s="95" t="s">
        <v>122</v>
      </c>
      <c r="K77" s="60">
        <v>15</v>
      </c>
      <c r="L77" s="56"/>
      <c r="M77" s="116"/>
      <c r="N77" s="26">
        <f>S77</f>
        <v>21.255194805194805</v>
      </c>
      <c r="O77" s="47" t="s">
        <v>63</v>
      </c>
      <c r="P77" s="28">
        <f>(K75+K76+G79+G78+G75+G76+G77+I75+G80)/100</f>
        <v>1.58</v>
      </c>
      <c r="Q77" s="29" t="s">
        <v>45</v>
      </c>
      <c r="R77" s="30" t="s">
        <v>64</v>
      </c>
      <c r="S77" s="31">
        <f>P76*5+P79*4+P80*5</f>
        <v>21.255194805194805</v>
      </c>
      <c r="T77" s="29" t="s">
        <v>57</v>
      </c>
      <c r="U77" s="32">
        <f>S77*9/S75</f>
        <v>0.28688032099761362</v>
      </c>
      <c r="W77" s="26">
        <f>AB77</f>
        <v>26.327922077922079</v>
      </c>
      <c r="X77" s="47" t="s">
        <v>63</v>
      </c>
      <c r="Y77" s="28">
        <f>(G76+G77+I75+K75+E77+E76+G78+K76+G79)/100</f>
        <v>1.62</v>
      </c>
      <c r="Z77" s="29" t="s">
        <v>45</v>
      </c>
      <c r="AA77" s="30" t="s">
        <v>64</v>
      </c>
      <c r="AB77" s="31">
        <f>Y76*5+Y79*4+Y80*5</f>
        <v>26.327922077922079</v>
      </c>
      <c r="AC77" s="29" t="s">
        <v>57</v>
      </c>
      <c r="AD77" s="32">
        <f>AB77*9/AB75</f>
        <v>0.26759153756474652</v>
      </c>
    </row>
    <row r="78" spans="1:30" ht="16.149999999999999" customHeight="1" x14ac:dyDescent="0.25">
      <c r="A78" s="215"/>
      <c r="B78" s="44"/>
      <c r="C78" s="37"/>
      <c r="D78" s="39" t="s">
        <v>166</v>
      </c>
      <c r="E78" s="43">
        <v>1</v>
      </c>
      <c r="F78" s="41" t="s">
        <v>84</v>
      </c>
      <c r="G78" s="43">
        <v>5</v>
      </c>
      <c r="H78" s="51"/>
      <c r="I78" s="52"/>
      <c r="J78" s="143"/>
      <c r="K78" s="52"/>
      <c r="L78" s="56"/>
      <c r="M78" s="116"/>
      <c r="N78" s="46" t="s">
        <v>70</v>
      </c>
      <c r="O78" s="57" t="s">
        <v>67</v>
      </c>
      <c r="P78" s="58">
        <v>0</v>
      </c>
      <c r="Q78" s="29" t="s">
        <v>45</v>
      </c>
      <c r="R78" s="30" t="s">
        <v>68</v>
      </c>
      <c r="S78" s="31">
        <f>P75*2+P76*7+P77*1+P79*8</f>
        <v>25.265844155844157</v>
      </c>
      <c r="T78" s="29" t="s">
        <v>57</v>
      </c>
      <c r="U78" s="32">
        <f>S78*4/S75</f>
        <v>0.15156082596665341</v>
      </c>
      <c r="W78" s="46" t="s">
        <v>70</v>
      </c>
      <c r="X78" s="61" t="s">
        <v>67</v>
      </c>
      <c r="Y78" s="58">
        <v>0</v>
      </c>
      <c r="Z78" s="29" t="s">
        <v>45</v>
      </c>
      <c r="AA78" s="30" t="s">
        <v>68</v>
      </c>
      <c r="AB78" s="31">
        <f>Y75*2+Y76*7+Y77*1+Y79*8</f>
        <v>37.250519480519479</v>
      </c>
      <c r="AC78" s="29" t="s">
        <v>57</v>
      </c>
      <c r="AD78" s="32">
        <f>AB78*4/AB75</f>
        <v>0.16826957839033979</v>
      </c>
    </row>
    <row r="79" spans="1:30" ht="16.149999999999999" customHeight="1" x14ac:dyDescent="0.25">
      <c r="A79" s="215" t="s">
        <v>112</v>
      </c>
      <c r="B79" s="59"/>
      <c r="C79" s="60"/>
      <c r="D79" s="44" t="s">
        <v>167</v>
      </c>
      <c r="E79" s="43">
        <v>10</v>
      </c>
      <c r="F79" s="44" t="s">
        <v>168</v>
      </c>
      <c r="G79" s="43">
        <v>3</v>
      </c>
      <c r="H79" s="59"/>
      <c r="I79" s="144"/>
      <c r="J79" s="53"/>
      <c r="K79" s="45"/>
      <c r="L79" s="56"/>
      <c r="M79" s="116"/>
      <c r="N79" s="26">
        <f>S78</f>
        <v>25.265844155844157</v>
      </c>
      <c r="O79" s="61" t="s">
        <v>71</v>
      </c>
      <c r="P79" s="58">
        <v>0</v>
      </c>
      <c r="Q79" s="29" t="s">
        <v>45</v>
      </c>
      <c r="R79" s="62"/>
      <c r="S79" s="62"/>
      <c r="T79" s="62"/>
      <c r="U79" s="63">
        <f>SUM(U76:U78)</f>
        <v>1.0000000000000002</v>
      </c>
      <c r="W79" s="26">
        <f>AB78</f>
        <v>37.250519480519479</v>
      </c>
      <c r="X79" s="61" t="s">
        <v>71</v>
      </c>
      <c r="Y79" s="58">
        <v>0</v>
      </c>
      <c r="Z79" s="29" t="s">
        <v>45</v>
      </c>
      <c r="AA79" s="62"/>
      <c r="AB79" s="62"/>
      <c r="AC79" s="62"/>
      <c r="AD79" s="63">
        <f>SUM(AD76:AD78)</f>
        <v>1</v>
      </c>
    </row>
    <row r="80" spans="1:30" ht="16.149999999999999" customHeight="1" x14ac:dyDescent="0.25">
      <c r="A80" s="215"/>
      <c r="B80" s="59"/>
      <c r="C80" s="60"/>
      <c r="D80" s="59"/>
      <c r="E80" s="45"/>
      <c r="F80" s="41"/>
      <c r="G80" s="43"/>
      <c r="H80" s="59"/>
      <c r="I80" s="144"/>
      <c r="J80" s="91"/>
      <c r="K80" s="112"/>
      <c r="L80" s="145"/>
      <c r="M80" s="116"/>
      <c r="N80" s="46" t="s">
        <v>74</v>
      </c>
      <c r="O80" s="65" t="s">
        <v>73</v>
      </c>
      <c r="P80" s="58">
        <v>2.5</v>
      </c>
      <c r="Q80" s="29" t="s">
        <v>45</v>
      </c>
      <c r="R80" s="66"/>
      <c r="S80" s="66"/>
      <c r="T80" s="66"/>
      <c r="U80" s="67"/>
      <c r="W80" s="46" t="s">
        <v>74</v>
      </c>
      <c r="X80" s="65" t="s">
        <v>73</v>
      </c>
      <c r="Y80" s="58">
        <v>2.4</v>
      </c>
      <c r="Z80" s="29" t="s">
        <v>45</v>
      </c>
      <c r="AA80" s="66"/>
      <c r="AB80" s="66"/>
      <c r="AC80" s="66"/>
      <c r="AD80" s="67"/>
    </row>
    <row r="81" spans="1:30" ht="16.149999999999999" customHeight="1" thickBot="1" x14ac:dyDescent="0.3">
      <c r="A81" s="231"/>
      <c r="B81" s="232" t="s">
        <v>90</v>
      </c>
      <c r="C81" s="233"/>
      <c r="D81" s="237" t="s">
        <v>77</v>
      </c>
      <c r="E81" s="233"/>
      <c r="F81" s="253" t="s">
        <v>76</v>
      </c>
      <c r="G81" s="235"/>
      <c r="H81" s="232" t="s">
        <v>78</v>
      </c>
      <c r="I81" s="233"/>
      <c r="J81" s="232" t="s">
        <v>77</v>
      </c>
      <c r="K81" s="233"/>
      <c r="L81" s="232" t="s">
        <v>282</v>
      </c>
      <c r="M81" s="233"/>
      <c r="N81" s="73">
        <f>P81</f>
        <v>666.81727272727267</v>
      </c>
      <c r="O81" s="68" t="s">
        <v>75</v>
      </c>
      <c r="P81" s="69">
        <f>P75*68+P76*73+P77*24+P78*60+P79*112+P80*45</f>
        <v>666.81727272727267</v>
      </c>
      <c r="Q81" s="70" t="s">
        <v>47</v>
      </c>
      <c r="R81" s="71"/>
      <c r="S81" s="71"/>
      <c r="T81" s="71"/>
      <c r="U81" s="72"/>
      <c r="W81" s="73">
        <f>Y81</f>
        <v>885.49623376623379</v>
      </c>
      <c r="X81" s="68" t="s">
        <v>75</v>
      </c>
      <c r="Y81" s="69">
        <f>Y75*68+Y76*73+Y77*24+Y78*60+Y79*112+Y80*45</f>
        <v>885.49623376623379</v>
      </c>
      <c r="Z81" s="70" t="s">
        <v>47</v>
      </c>
      <c r="AA81" s="71"/>
      <c r="AB81" s="71"/>
      <c r="AC81" s="71"/>
      <c r="AD81" s="72"/>
    </row>
    <row r="82" spans="1:30" ht="16.149999999999999" customHeight="1" thickBot="1" x14ac:dyDescent="0.3">
      <c r="A82" s="214">
        <f>A74+1</f>
        <v>44022</v>
      </c>
      <c r="B82" s="239" t="s">
        <v>169</v>
      </c>
      <c r="C82" s="217"/>
      <c r="D82" s="219" t="s">
        <v>170</v>
      </c>
      <c r="E82" s="220"/>
      <c r="F82" s="219" t="s">
        <v>171</v>
      </c>
      <c r="G82" s="220"/>
      <c r="H82" s="216" t="s">
        <v>132</v>
      </c>
      <c r="I82" s="221"/>
      <c r="J82" s="219" t="s">
        <v>172</v>
      </c>
      <c r="K82" s="220"/>
      <c r="L82" s="216" t="s">
        <v>259</v>
      </c>
      <c r="M82" s="217"/>
      <c r="N82" s="10" t="s">
        <v>43</v>
      </c>
      <c r="O82" s="225" t="s">
        <v>49</v>
      </c>
      <c r="P82" s="226"/>
      <c r="Q82" s="227"/>
      <c r="R82" s="228" t="s">
        <v>50</v>
      </c>
      <c r="S82" s="229"/>
      <c r="T82" s="229"/>
      <c r="U82" s="230"/>
      <c r="W82" s="10" t="s">
        <v>43</v>
      </c>
      <c r="X82" s="225" t="s">
        <v>49</v>
      </c>
      <c r="Y82" s="226"/>
      <c r="Z82" s="227"/>
      <c r="AA82" s="228" t="s">
        <v>50</v>
      </c>
      <c r="AB82" s="229"/>
      <c r="AC82" s="229"/>
      <c r="AD82" s="230"/>
    </row>
    <row r="83" spans="1:30" ht="16.149999999999999" customHeight="1" x14ac:dyDescent="0.25">
      <c r="A83" s="215"/>
      <c r="B83" s="44" t="s">
        <v>98</v>
      </c>
      <c r="C83" s="37">
        <v>120</v>
      </c>
      <c r="D83" s="51" t="s">
        <v>111</v>
      </c>
      <c r="E83" s="25">
        <v>20</v>
      </c>
      <c r="F83" s="24" t="s">
        <v>113</v>
      </c>
      <c r="G83" s="25">
        <v>45</v>
      </c>
      <c r="H83" s="17" t="s">
        <v>283</v>
      </c>
      <c r="I83" s="99">
        <v>100</v>
      </c>
      <c r="J83" s="104" t="s">
        <v>173</v>
      </c>
      <c r="K83" s="78">
        <v>20</v>
      </c>
      <c r="L83" s="122" t="s">
        <v>54</v>
      </c>
      <c r="M83" s="25">
        <v>150</v>
      </c>
      <c r="N83" s="26" t="e">
        <f>S84</f>
        <v>#REF!</v>
      </c>
      <c r="O83" s="11" t="s">
        <v>44</v>
      </c>
      <c r="P83" s="58">
        <f>G88/55+M83/20+M84/20</f>
        <v>7.5</v>
      </c>
      <c r="Q83" s="13" t="s">
        <v>45</v>
      </c>
      <c r="R83" s="79" t="s">
        <v>46</v>
      </c>
      <c r="S83" s="80" t="e">
        <f>P89</f>
        <v>#REF!</v>
      </c>
      <c r="T83" s="81" t="s">
        <v>47</v>
      </c>
      <c r="U83" s="102"/>
      <c r="W83" s="26">
        <f>AB84</f>
        <v>126.81176470588235</v>
      </c>
      <c r="X83" s="11" t="s">
        <v>44</v>
      </c>
      <c r="Y83" s="58">
        <f>M83/20+E85/2/30+E87/85</f>
        <v>7.7607843137254902</v>
      </c>
      <c r="Z83" s="13" t="s">
        <v>45</v>
      </c>
      <c r="AA83" s="79" t="s">
        <v>46</v>
      </c>
      <c r="AB83" s="80">
        <f>Y89</f>
        <v>892.23385281385276</v>
      </c>
      <c r="AC83" s="81" t="s">
        <v>47</v>
      </c>
      <c r="AD83" s="102"/>
    </row>
    <row r="84" spans="1:30" ht="16.149999999999999" customHeight="1" x14ac:dyDescent="0.25">
      <c r="A84" s="215"/>
      <c r="B84" s="103" t="s">
        <v>83</v>
      </c>
      <c r="C84" s="137">
        <v>0.4</v>
      </c>
      <c r="D84" s="44" t="s">
        <v>69</v>
      </c>
      <c r="E84" s="37">
        <v>5</v>
      </c>
      <c r="F84" s="41" t="s">
        <v>174</v>
      </c>
      <c r="G84" s="43">
        <v>15</v>
      </c>
      <c r="H84" s="44"/>
      <c r="I84" s="45"/>
      <c r="J84" s="120" t="s">
        <v>85</v>
      </c>
      <c r="K84" s="37">
        <v>10</v>
      </c>
      <c r="L84" s="56"/>
      <c r="M84" s="45"/>
      <c r="N84" s="46" t="s">
        <v>62</v>
      </c>
      <c r="O84" s="27" t="s">
        <v>55</v>
      </c>
      <c r="P84" s="28" t="e">
        <f>C83*0.58/40+E85/55+#REF!*0.52/35+#REF!/80</f>
        <v>#REF!</v>
      </c>
      <c r="Q84" s="29" t="s">
        <v>45</v>
      </c>
      <c r="R84" s="30" t="s">
        <v>56</v>
      </c>
      <c r="S84" s="31" t="e">
        <f>P83*15+P85*5+P86*15+P87*12</f>
        <v>#REF!</v>
      </c>
      <c r="T84" s="29" t="s">
        <v>57</v>
      </c>
      <c r="U84" s="32" t="e">
        <f>S84*4/S83</f>
        <v>#REF!</v>
      </c>
      <c r="W84" s="46" t="s">
        <v>62</v>
      </c>
      <c r="X84" s="27" t="s">
        <v>55</v>
      </c>
      <c r="Y84" s="28">
        <f>C83*0.6/40+E86/55+K84*0.65/35+G84/35+E85/2/35</f>
        <v>2.8298701298701294</v>
      </c>
      <c r="Z84" s="29" t="s">
        <v>45</v>
      </c>
      <c r="AA84" s="30" t="s">
        <v>56</v>
      </c>
      <c r="AB84" s="31">
        <f>Y83*15+Y85*5+Y86*15+Y87*12</f>
        <v>126.81176470588235</v>
      </c>
      <c r="AC84" s="29" t="s">
        <v>57</v>
      </c>
      <c r="AD84" s="32">
        <f>AB84*4/AB83</f>
        <v>0.56851357659633284</v>
      </c>
    </row>
    <row r="85" spans="1:30" ht="16.149999999999999" customHeight="1" x14ac:dyDescent="0.25">
      <c r="A85" s="215"/>
      <c r="B85" s="59" t="s">
        <v>175</v>
      </c>
      <c r="C85" s="37">
        <v>8</v>
      </c>
      <c r="D85" s="93" t="s">
        <v>176</v>
      </c>
      <c r="E85" s="37">
        <v>10</v>
      </c>
      <c r="F85" s="41" t="s">
        <v>96</v>
      </c>
      <c r="G85" s="43">
        <v>5</v>
      </c>
      <c r="H85" s="44"/>
      <c r="I85" s="45"/>
      <c r="J85" s="54" t="s">
        <v>83</v>
      </c>
      <c r="K85" s="55">
        <v>0.35</v>
      </c>
      <c r="L85" s="41"/>
      <c r="M85" s="110"/>
      <c r="N85" s="26" t="e">
        <f>S85</f>
        <v>#REF!</v>
      </c>
      <c r="O85" s="47" t="s">
        <v>63</v>
      </c>
      <c r="P85" s="28" t="e">
        <f>(E83+E84+E85+E86+#REF!+#REF!+I83+#REF!+#REF!)/100</f>
        <v>#REF!</v>
      </c>
      <c r="Q85" s="29" t="s">
        <v>45</v>
      </c>
      <c r="R85" s="30" t="s">
        <v>64</v>
      </c>
      <c r="S85" s="31" t="e">
        <f>P84*5+P87*4+P88*5</f>
        <v>#REF!</v>
      </c>
      <c r="T85" s="29" t="s">
        <v>57</v>
      </c>
      <c r="U85" s="32" t="e">
        <f>S85*9/S83</f>
        <v>#REF!</v>
      </c>
      <c r="W85" s="26">
        <f>AB85</f>
        <v>26.149350649350648</v>
      </c>
      <c r="X85" s="47" t="s">
        <v>63</v>
      </c>
      <c r="Y85" s="28">
        <f>(G83+G85+I83+K83+E83+E84+G86+C86+K86)/100</f>
        <v>2.08</v>
      </c>
      <c r="Z85" s="29" t="s">
        <v>45</v>
      </c>
      <c r="AA85" s="30" t="s">
        <v>64</v>
      </c>
      <c r="AB85" s="31">
        <f>Y84*5+Y87*4+Y88*5</f>
        <v>26.149350649350648</v>
      </c>
      <c r="AC85" s="29" t="s">
        <v>57</v>
      </c>
      <c r="AD85" s="32">
        <f>AB85*9/AB83</f>
        <v>0.26376958809839712</v>
      </c>
    </row>
    <row r="86" spans="1:30" ht="16.149999999999999" customHeight="1" x14ac:dyDescent="0.25">
      <c r="A86" s="215"/>
      <c r="B86" s="44" t="s">
        <v>84</v>
      </c>
      <c r="C86" s="37">
        <v>5</v>
      </c>
      <c r="D86" s="44" t="s">
        <v>52</v>
      </c>
      <c r="E86" s="37">
        <v>15</v>
      </c>
      <c r="F86" s="41" t="s">
        <v>89</v>
      </c>
      <c r="G86" s="43">
        <v>3</v>
      </c>
      <c r="H86" s="56"/>
      <c r="I86" s="45"/>
      <c r="J86" s="41" t="s">
        <v>84</v>
      </c>
      <c r="K86" s="43">
        <v>5</v>
      </c>
      <c r="L86" s="44"/>
      <c r="M86" s="116"/>
      <c r="N86" s="46" t="s">
        <v>70</v>
      </c>
      <c r="O86" s="57" t="s">
        <v>67</v>
      </c>
      <c r="P86" s="58">
        <v>0</v>
      </c>
      <c r="Q86" s="29" t="s">
        <v>45</v>
      </c>
      <c r="R86" s="30" t="s">
        <v>68</v>
      </c>
      <c r="S86" s="31" t="e">
        <f>P83*2+P84*7+P85*1+P87*8</f>
        <v>#REF!</v>
      </c>
      <c r="T86" s="29" t="s">
        <v>57</v>
      </c>
      <c r="U86" s="32" t="e">
        <f>S86*4/S83</f>
        <v>#REF!</v>
      </c>
      <c r="W86" s="46" t="s">
        <v>70</v>
      </c>
      <c r="X86" s="61" t="s">
        <v>67</v>
      </c>
      <c r="Y86" s="58">
        <v>0</v>
      </c>
      <c r="Z86" s="29" t="s">
        <v>45</v>
      </c>
      <c r="AA86" s="30" t="s">
        <v>68</v>
      </c>
      <c r="AB86" s="31">
        <f>Y83*2+Y84*7+Y85*1+Y87*8</f>
        <v>37.410659536541885</v>
      </c>
      <c r="AC86" s="29" t="s">
        <v>57</v>
      </c>
      <c r="AD86" s="32">
        <f>AB86*4/AB83</f>
        <v>0.1677168353052701</v>
      </c>
    </row>
    <row r="87" spans="1:30" ht="16.149999999999999" customHeight="1" x14ac:dyDescent="0.25">
      <c r="A87" s="215" t="s">
        <v>120</v>
      </c>
      <c r="B87" s="59" t="s">
        <v>103</v>
      </c>
      <c r="C87" s="60">
        <v>1</v>
      </c>
      <c r="D87" s="93" t="s">
        <v>177</v>
      </c>
      <c r="E87" s="37">
        <v>8</v>
      </c>
      <c r="F87" s="59"/>
      <c r="G87" s="60"/>
      <c r="H87" s="56"/>
      <c r="I87" s="45"/>
      <c r="J87" s="95"/>
      <c r="K87" s="52"/>
      <c r="L87" s="44"/>
      <c r="M87" s="116"/>
      <c r="N87" s="26" t="e">
        <f>S86</f>
        <v>#REF!</v>
      </c>
      <c r="O87" s="61" t="s">
        <v>71</v>
      </c>
      <c r="P87" s="58">
        <v>0</v>
      </c>
      <c r="Q87" s="29" t="s">
        <v>45</v>
      </c>
      <c r="R87" s="62"/>
      <c r="S87" s="62"/>
      <c r="T87" s="62"/>
      <c r="U87" s="63" t="e">
        <f>SUM(U84:U86)</f>
        <v>#REF!</v>
      </c>
      <c r="W87" s="26">
        <f>AB86</f>
        <v>37.410659536541885</v>
      </c>
      <c r="X87" s="61" t="s">
        <v>71</v>
      </c>
      <c r="Y87" s="58">
        <v>0</v>
      </c>
      <c r="Z87" s="29" t="s">
        <v>45</v>
      </c>
      <c r="AA87" s="62"/>
      <c r="AB87" s="62"/>
      <c r="AC87" s="62"/>
      <c r="AD87" s="63">
        <f>SUM(AD84:AD86)</f>
        <v>1</v>
      </c>
    </row>
    <row r="88" spans="1:30" ht="16.149999999999999" customHeight="1" x14ac:dyDescent="0.25">
      <c r="A88" s="215"/>
      <c r="B88" s="59"/>
      <c r="C88" s="60"/>
      <c r="D88" s="59"/>
      <c r="E88" s="60"/>
      <c r="F88" s="56"/>
      <c r="G88" s="45"/>
      <c r="H88" s="109"/>
      <c r="I88" s="110"/>
      <c r="J88" s="143"/>
      <c r="K88" s="146"/>
      <c r="L88" s="44"/>
      <c r="M88" s="116"/>
      <c r="N88" s="46" t="s">
        <v>74</v>
      </c>
      <c r="O88" s="65" t="s">
        <v>73</v>
      </c>
      <c r="P88" s="58">
        <v>2.5</v>
      </c>
      <c r="Q88" s="29" t="s">
        <v>45</v>
      </c>
      <c r="R88" s="66"/>
      <c r="S88" s="66"/>
      <c r="T88" s="66"/>
      <c r="U88" s="67"/>
      <c r="W88" s="46" t="s">
        <v>74</v>
      </c>
      <c r="X88" s="65" t="s">
        <v>73</v>
      </c>
      <c r="Y88" s="58">
        <v>2.4</v>
      </c>
      <c r="Z88" s="29" t="s">
        <v>45</v>
      </c>
      <c r="AA88" s="66"/>
      <c r="AB88" s="66"/>
      <c r="AC88" s="66"/>
      <c r="AD88" s="67"/>
    </row>
    <row r="89" spans="1:30" ht="16.149999999999999" customHeight="1" thickBot="1" x14ac:dyDescent="0.3">
      <c r="A89" s="231"/>
      <c r="B89" s="232" t="s">
        <v>76</v>
      </c>
      <c r="C89" s="233"/>
      <c r="D89" s="232" t="s">
        <v>90</v>
      </c>
      <c r="E89" s="233"/>
      <c r="F89" s="232" t="s">
        <v>76</v>
      </c>
      <c r="G89" s="233"/>
      <c r="H89" s="232" t="s">
        <v>78</v>
      </c>
      <c r="I89" s="233"/>
      <c r="J89" s="232" t="s">
        <v>77</v>
      </c>
      <c r="K89" s="233"/>
      <c r="L89" s="232" t="s">
        <v>79</v>
      </c>
      <c r="M89" s="233"/>
      <c r="N89" s="73" t="e">
        <f>P89</f>
        <v>#REF!</v>
      </c>
      <c r="O89" s="68" t="s">
        <v>75</v>
      </c>
      <c r="P89" s="69" t="e">
        <f>P83*68+P84*73+P85*24+P86*60+P87*112+P88*45</f>
        <v>#REF!</v>
      </c>
      <c r="Q89" s="70" t="s">
        <v>47</v>
      </c>
      <c r="R89" s="71"/>
      <c r="S89" s="71"/>
      <c r="T89" s="71"/>
      <c r="U89" s="72"/>
      <c r="W89" s="73">
        <f>Y89</f>
        <v>892.23385281385276</v>
      </c>
      <c r="X89" s="68" t="s">
        <v>75</v>
      </c>
      <c r="Y89" s="69">
        <f>Y83*68+Y84*73+Y85*24+Y86*60+Y87*112+Y88*45</f>
        <v>892.23385281385276</v>
      </c>
      <c r="Z89" s="70" t="s">
        <v>47</v>
      </c>
      <c r="AA89" s="71"/>
      <c r="AB89" s="71"/>
      <c r="AC89" s="71"/>
      <c r="AD89" s="72"/>
    </row>
    <row r="90" spans="1:30" x14ac:dyDescent="0.25">
      <c r="A90" s="243" t="s">
        <v>124</v>
      </c>
      <c r="B90" s="244"/>
      <c r="C90" s="244"/>
      <c r="D90" s="254"/>
      <c r="E90" s="254"/>
      <c r="F90" s="244"/>
      <c r="G90" s="244"/>
      <c r="H90" s="244"/>
      <c r="I90" s="244"/>
      <c r="J90" s="244"/>
      <c r="K90" s="244"/>
      <c r="L90" s="244"/>
      <c r="M90" s="244"/>
    </row>
    <row r="91" spans="1:30" x14ac:dyDescent="0.25">
      <c r="A91" s="245" t="s">
        <v>125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</row>
    <row r="92" spans="1:30" x14ac:dyDescent="0.25">
      <c r="A92" s="246" t="s">
        <v>126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</row>
    <row r="93" spans="1:30" x14ac:dyDescent="0.25">
      <c r="A93" s="247" t="s">
        <v>127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</row>
    <row r="94" spans="1:30" x14ac:dyDescent="0.25">
      <c r="A94" s="248" t="s">
        <v>128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</row>
    <row r="95" spans="1:30" ht="21.75" thickBot="1" x14ac:dyDescent="0.3">
      <c r="A95" s="236" t="s">
        <v>178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30" ht="35.25" thickBot="1" x14ac:dyDescent="0.3">
      <c r="A96" s="7" t="s">
        <v>33</v>
      </c>
      <c r="B96" s="8" t="s">
        <v>34</v>
      </c>
      <c r="C96" s="9" t="s">
        <v>35</v>
      </c>
      <c r="D96" s="8" t="s">
        <v>36</v>
      </c>
      <c r="E96" s="9" t="s">
        <v>35</v>
      </c>
      <c r="F96" s="8" t="s">
        <v>36</v>
      </c>
      <c r="G96" s="9" t="s">
        <v>35</v>
      </c>
      <c r="H96" s="8" t="s">
        <v>130</v>
      </c>
      <c r="I96" s="9" t="s">
        <v>35</v>
      </c>
      <c r="J96" s="8" t="s">
        <v>37</v>
      </c>
      <c r="K96" s="9" t="s">
        <v>35</v>
      </c>
      <c r="L96" s="8" t="s">
        <v>38</v>
      </c>
      <c r="M96" s="9" t="s">
        <v>35</v>
      </c>
      <c r="N96" s="9" t="s">
        <v>39</v>
      </c>
      <c r="O96" s="211" t="s">
        <v>40</v>
      </c>
      <c r="P96" s="212"/>
      <c r="Q96" s="212"/>
      <c r="R96" s="212"/>
      <c r="S96" s="212"/>
      <c r="T96" s="212"/>
      <c r="U96" s="213"/>
      <c r="W96" s="9" t="s">
        <v>39</v>
      </c>
      <c r="X96" s="211" t="s">
        <v>40</v>
      </c>
      <c r="Y96" s="212"/>
      <c r="Z96" s="212"/>
      <c r="AA96" s="212"/>
      <c r="AB96" s="212"/>
      <c r="AC96" s="212"/>
      <c r="AD96" s="213"/>
    </row>
    <row r="97" spans="1:30" ht="16.149999999999999" customHeight="1" thickBot="1" x14ac:dyDescent="0.3">
      <c r="A97" s="214">
        <f>A82+3</f>
        <v>44025</v>
      </c>
      <c r="B97" s="216" t="s">
        <v>284</v>
      </c>
      <c r="C97" s="217"/>
      <c r="D97" s="255" t="s">
        <v>289</v>
      </c>
      <c r="E97" s="241"/>
      <c r="F97" s="216" t="s">
        <v>294</v>
      </c>
      <c r="G97" s="242"/>
      <c r="H97" s="216" t="s">
        <v>132</v>
      </c>
      <c r="I97" s="221"/>
      <c r="J97" s="216" t="s">
        <v>179</v>
      </c>
      <c r="K97" s="242"/>
      <c r="L97" s="223" t="s">
        <v>42</v>
      </c>
      <c r="M97" s="224"/>
      <c r="N97" s="10" t="s">
        <v>43</v>
      </c>
      <c r="O97" s="11" t="s">
        <v>44</v>
      </c>
      <c r="P97" s="12">
        <f>C100/45+G100/65+M98/20+M99/20</f>
        <v>7.6111111111111107</v>
      </c>
      <c r="Q97" s="13" t="s">
        <v>45</v>
      </c>
      <c r="R97" s="14" t="s">
        <v>46</v>
      </c>
      <c r="S97" s="15">
        <f>P103</f>
        <v>789.31867243867248</v>
      </c>
      <c r="T97" s="13" t="s">
        <v>47</v>
      </c>
      <c r="U97" s="16" t="s">
        <v>48</v>
      </c>
      <c r="W97" s="10" t="s">
        <v>43</v>
      </c>
      <c r="X97" s="225" t="s">
        <v>49</v>
      </c>
      <c r="Y97" s="226"/>
      <c r="Z97" s="227"/>
      <c r="AA97" s="228" t="s">
        <v>50</v>
      </c>
      <c r="AB97" s="229"/>
      <c r="AC97" s="229"/>
      <c r="AD97" s="230"/>
    </row>
    <row r="98" spans="1:30" ht="16.149999999999999" customHeight="1" x14ac:dyDescent="0.25">
      <c r="A98" s="215"/>
      <c r="B98" s="41" t="s">
        <v>285</v>
      </c>
      <c r="C98" s="43">
        <v>55</v>
      </c>
      <c r="D98" s="98" t="s">
        <v>291</v>
      </c>
      <c r="E98" s="99">
        <v>35</v>
      </c>
      <c r="F98" s="41" t="s">
        <v>94</v>
      </c>
      <c r="G98" s="43">
        <v>15</v>
      </c>
      <c r="H98" s="128" t="s">
        <v>109</v>
      </c>
      <c r="I98" s="23">
        <v>120</v>
      </c>
      <c r="J98" s="24" t="s">
        <v>113</v>
      </c>
      <c r="K98" s="25">
        <v>20</v>
      </c>
      <c r="L98" s="24" t="s">
        <v>54</v>
      </c>
      <c r="M98" s="25">
        <v>120</v>
      </c>
      <c r="N98" s="26">
        <f>S98</f>
        <v>122.41666666666666</v>
      </c>
      <c r="O98" s="27" t="s">
        <v>55</v>
      </c>
      <c r="P98" s="28">
        <f>C98/55+E98/55+E99/35+K123/25</f>
        <v>1.6392207792207791</v>
      </c>
      <c r="Q98" s="29" t="s">
        <v>45</v>
      </c>
      <c r="R98" s="30" t="s">
        <v>56</v>
      </c>
      <c r="S98" s="31">
        <f>P97*15+P99*5+P100*15+P101*12</f>
        <v>122.41666666666666</v>
      </c>
      <c r="T98" s="29" t="s">
        <v>57</v>
      </c>
      <c r="U98" s="32">
        <f>S98*4/S97</f>
        <v>0.62036625226893027</v>
      </c>
      <c r="W98" s="26">
        <f>AB99</f>
        <v>125.53571428571428</v>
      </c>
      <c r="X98" s="33" t="s">
        <v>44</v>
      </c>
      <c r="Y98" s="12">
        <f>M98/20+M99/20+G99/70</f>
        <v>7.7857142857142856</v>
      </c>
      <c r="Z98" s="13" t="s">
        <v>45</v>
      </c>
      <c r="AA98" s="14" t="s">
        <v>46</v>
      </c>
      <c r="AB98" s="15">
        <f>Y104</f>
        <v>896.9511904761905</v>
      </c>
      <c r="AC98" s="13" t="s">
        <v>47</v>
      </c>
      <c r="AD98" s="16" t="s">
        <v>48</v>
      </c>
    </row>
    <row r="99" spans="1:30" ht="16.149999999999999" customHeight="1" x14ac:dyDescent="0.25">
      <c r="A99" s="215"/>
      <c r="B99" s="59" t="s">
        <v>286</v>
      </c>
      <c r="C99" s="60">
        <v>10</v>
      </c>
      <c r="D99" s="56" t="s">
        <v>292</v>
      </c>
      <c r="E99" s="45">
        <v>0.1</v>
      </c>
      <c r="F99" s="41" t="s">
        <v>295</v>
      </c>
      <c r="G99" s="43">
        <v>20</v>
      </c>
      <c r="J99" s="41" t="s">
        <v>180</v>
      </c>
      <c r="K99" s="43">
        <v>8</v>
      </c>
      <c r="L99" s="44" t="s">
        <v>61</v>
      </c>
      <c r="M99" s="45">
        <v>30</v>
      </c>
      <c r="N99" s="46" t="s">
        <v>62</v>
      </c>
      <c r="O99" s="47" t="s">
        <v>63</v>
      </c>
      <c r="P99" s="28">
        <f>(C99+G98+G99+I98+K122)/100</f>
        <v>1.65</v>
      </c>
      <c r="Q99" s="29" t="s">
        <v>45</v>
      </c>
      <c r="R99" s="30" t="s">
        <v>64</v>
      </c>
      <c r="S99" s="31">
        <f>P98*5+P101*4+P102*5</f>
        <v>20.696103896103896</v>
      </c>
      <c r="T99" s="29" t="s">
        <v>57</v>
      </c>
      <c r="U99" s="32">
        <f>S99*9/S97</f>
        <v>0.23598191905108801</v>
      </c>
      <c r="W99" s="46" t="s">
        <v>62</v>
      </c>
      <c r="X99" s="27" t="s">
        <v>55</v>
      </c>
      <c r="Y99" s="28">
        <f>C98/35+E98/40+K99/15</f>
        <v>2.9797619047619044</v>
      </c>
      <c r="Z99" s="29" t="s">
        <v>45</v>
      </c>
      <c r="AA99" s="30" t="s">
        <v>56</v>
      </c>
      <c r="AB99" s="31">
        <f>Y98*15+Y100*5+Y101*15+Y102*12</f>
        <v>125.53571428571428</v>
      </c>
      <c r="AC99" s="29" t="s">
        <v>57</v>
      </c>
      <c r="AD99" s="32">
        <f>AB99*4/AB98</f>
        <v>0.55983297917946906</v>
      </c>
    </row>
    <row r="100" spans="1:30" ht="16.149999999999999" customHeight="1" x14ac:dyDescent="0.25">
      <c r="A100" s="215"/>
      <c r="B100" s="41" t="s">
        <v>287</v>
      </c>
      <c r="C100" s="43">
        <v>5</v>
      </c>
      <c r="D100" s="53"/>
      <c r="E100" s="45"/>
      <c r="F100" s="41"/>
      <c r="G100" s="43"/>
      <c r="H100" s="41"/>
      <c r="I100" s="43"/>
      <c r="J100" s="56" t="s">
        <v>135</v>
      </c>
      <c r="K100" s="37">
        <v>0.5</v>
      </c>
      <c r="L100" s="56"/>
      <c r="M100" s="45"/>
      <c r="N100" s="26">
        <f>S99</f>
        <v>20.696103896103896</v>
      </c>
      <c r="O100" s="57" t="s">
        <v>67</v>
      </c>
      <c r="P100" s="58">
        <v>0</v>
      </c>
      <c r="Q100" s="29" t="s">
        <v>45</v>
      </c>
      <c r="R100" s="30" t="s">
        <v>68</v>
      </c>
      <c r="S100" s="31">
        <f>P97*2+P98*7+P99*1+P101*8</f>
        <v>28.346767676767676</v>
      </c>
      <c r="T100" s="29" t="s">
        <v>57</v>
      </c>
      <c r="U100" s="32">
        <f>S100*4/S97</f>
        <v>0.14365182867998161</v>
      </c>
      <c r="W100" s="26">
        <f>AB100</f>
        <v>26.898809523809522</v>
      </c>
      <c r="X100" s="47" t="s">
        <v>63</v>
      </c>
      <c r="Y100" s="28">
        <f>(K98+K101+I98+G98+C99+C100)/100</f>
        <v>1.75</v>
      </c>
      <c r="Z100" s="29" t="s">
        <v>45</v>
      </c>
      <c r="AA100" s="30" t="s">
        <v>64</v>
      </c>
      <c r="AB100" s="31">
        <f>Y99*5+Y102*4+Y103*5</f>
        <v>26.898809523809522</v>
      </c>
      <c r="AC100" s="29" t="s">
        <v>57</v>
      </c>
      <c r="AD100" s="32">
        <f>AB100*9/AB98</f>
        <v>0.26990240749417005</v>
      </c>
    </row>
    <row r="101" spans="1:30" ht="16.149999999999999" customHeight="1" x14ac:dyDescent="0.25">
      <c r="A101" s="215"/>
      <c r="B101" s="93"/>
      <c r="C101" s="129"/>
      <c r="D101" s="44"/>
      <c r="E101" s="123"/>
      <c r="F101" s="53"/>
      <c r="G101" s="43"/>
      <c r="H101" s="22"/>
      <c r="I101" s="20"/>
      <c r="J101" s="147" t="s">
        <v>181</v>
      </c>
      <c r="K101" s="45">
        <v>5</v>
      </c>
      <c r="L101" s="51"/>
      <c r="M101" s="52"/>
      <c r="N101" s="46" t="s">
        <v>70</v>
      </c>
      <c r="O101" s="61" t="s">
        <v>71</v>
      </c>
      <c r="P101" s="58">
        <v>0</v>
      </c>
      <c r="Q101" s="29" t="s">
        <v>45</v>
      </c>
      <c r="R101" s="62"/>
      <c r="S101" s="62"/>
      <c r="T101" s="62"/>
      <c r="U101" s="63">
        <f>SUM(U98:U100)</f>
        <v>0.99999999999999989</v>
      </c>
      <c r="W101" s="46" t="s">
        <v>70</v>
      </c>
      <c r="X101" s="61" t="s">
        <v>67</v>
      </c>
      <c r="Y101" s="58">
        <v>0</v>
      </c>
      <c r="Z101" s="29" t="s">
        <v>45</v>
      </c>
      <c r="AA101" s="30" t="s">
        <v>68</v>
      </c>
      <c r="AB101" s="31">
        <f>Y98*2+Y99*7+Y100*1+Y102*8</f>
        <v>38.179761904761904</v>
      </c>
      <c r="AC101" s="29" t="s">
        <v>57</v>
      </c>
      <c r="AD101" s="32">
        <f>AB101*4/AB98</f>
        <v>0.17026461332636084</v>
      </c>
    </row>
    <row r="102" spans="1:30" ht="16.149999999999999" customHeight="1" x14ac:dyDescent="0.25">
      <c r="A102" s="215" t="s">
        <v>72</v>
      </c>
      <c r="B102" s="93"/>
      <c r="C102" s="94"/>
      <c r="D102" s="41"/>
      <c r="E102" s="123"/>
      <c r="F102" s="51"/>
      <c r="G102" s="52"/>
      <c r="H102" s="53"/>
      <c r="I102" s="43"/>
      <c r="J102" s="148" t="s">
        <v>182</v>
      </c>
      <c r="K102" s="45" t="s">
        <v>59</v>
      </c>
      <c r="L102" s="53"/>
      <c r="M102" s="45"/>
      <c r="N102" s="26">
        <f>S100</f>
        <v>28.346767676767676</v>
      </c>
      <c r="O102" s="65" t="s">
        <v>73</v>
      </c>
      <c r="P102" s="58">
        <v>2.5</v>
      </c>
      <c r="Q102" s="29" t="s">
        <v>45</v>
      </c>
      <c r="R102" s="66"/>
      <c r="S102" s="66"/>
      <c r="T102" s="66"/>
      <c r="U102" s="67"/>
      <c r="W102" s="26">
        <f>AB101</f>
        <v>38.179761904761904</v>
      </c>
      <c r="X102" s="61" t="s">
        <v>71</v>
      </c>
      <c r="Y102" s="58">
        <v>0</v>
      </c>
      <c r="Z102" s="29" t="s">
        <v>45</v>
      </c>
      <c r="AA102" s="62"/>
      <c r="AB102" s="62"/>
      <c r="AC102" s="62"/>
      <c r="AD102" s="63">
        <f>SUM(AD99:AD101)</f>
        <v>1</v>
      </c>
    </row>
    <row r="103" spans="1:30" ht="16.149999999999999" customHeight="1" thickBot="1" x14ac:dyDescent="0.3">
      <c r="A103" s="215"/>
      <c r="B103" s="93"/>
      <c r="C103" s="94"/>
      <c r="D103" s="59"/>
      <c r="E103" s="124"/>
      <c r="F103" s="51"/>
      <c r="G103" s="52"/>
      <c r="H103" s="53"/>
      <c r="I103" s="43"/>
      <c r="J103" s="149"/>
      <c r="K103" s="45"/>
      <c r="L103" s="56"/>
      <c r="M103" s="45"/>
      <c r="N103" s="46" t="s">
        <v>74</v>
      </c>
      <c r="O103" s="68" t="s">
        <v>75</v>
      </c>
      <c r="P103" s="69">
        <f>P97*68+P98*73+P99*24+P100*60+P101*112+P102*45</f>
        <v>789.31867243867248</v>
      </c>
      <c r="Q103" s="70" t="s">
        <v>47</v>
      </c>
      <c r="R103" s="71"/>
      <c r="S103" s="71"/>
      <c r="T103" s="71"/>
      <c r="U103" s="72"/>
      <c r="W103" s="46" t="s">
        <v>74</v>
      </c>
      <c r="X103" s="65" t="s">
        <v>73</v>
      </c>
      <c r="Y103" s="58">
        <v>2.4</v>
      </c>
      <c r="Z103" s="29" t="s">
        <v>45</v>
      </c>
      <c r="AA103" s="66"/>
      <c r="AB103" s="66"/>
      <c r="AC103" s="66"/>
      <c r="AD103" s="67"/>
    </row>
    <row r="104" spans="1:30" ht="16.149999999999999" customHeight="1" thickBot="1" x14ac:dyDescent="0.3">
      <c r="A104" s="231"/>
      <c r="B104" s="232" t="s">
        <v>293</v>
      </c>
      <c r="C104" s="233"/>
      <c r="D104" s="232" t="s">
        <v>290</v>
      </c>
      <c r="E104" s="233"/>
      <c r="F104" s="232" t="s">
        <v>76</v>
      </c>
      <c r="G104" s="233"/>
      <c r="H104" s="232" t="s">
        <v>78</v>
      </c>
      <c r="I104" s="233"/>
      <c r="J104" s="232" t="s">
        <v>77</v>
      </c>
      <c r="K104" s="233"/>
      <c r="L104" s="232" t="s">
        <v>79</v>
      </c>
      <c r="M104" s="233"/>
      <c r="N104" s="73">
        <f>P103</f>
        <v>789.31867243867248</v>
      </c>
      <c r="O104" s="74"/>
      <c r="P104" s="75"/>
      <c r="Q104" s="75"/>
      <c r="R104" s="75"/>
      <c r="S104" s="75"/>
      <c r="T104" s="75"/>
      <c r="U104" s="76"/>
      <c r="W104" s="73">
        <f>Y104</f>
        <v>896.9511904761905</v>
      </c>
      <c r="X104" s="68" t="s">
        <v>75</v>
      </c>
      <c r="Y104" s="69">
        <f>Y98*68+Y99*73+Y100*24+Y101*60+Y102*112+Y103*45</f>
        <v>896.9511904761905</v>
      </c>
      <c r="Z104" s="70" t="s">
        <v>47</v>
      </c>
      <c r="AA104" s="71"/>
      <c r="AB104" s="71"/>
      <c r="AC104" s="71"/>
      <c r="AD104" s="72"/>
    </row>
    <row r="105" spans="1:30" ht="16.149999999999999" customHeight="1" thickBot="1" x14ac:dyDescent="0.3">
      <c r="A105" s="214">
        <f>A97+1</f>
        <v>44026</v>
      </c>
      <c r="B105" s="219" t="s">
        <v>302</v>
      </c>
      <c r="C105" s="220"/>
      <c r="D105" s="216" t="s">
        <v>183</v>
      </c>
      <c r="E105" s="242"/>
      <c r="F105" s="216" t="s">
        <v>296</v>
      </c>
      <c r="G105" s="217"/>
      <c r="H105" s="216" t="s">
        <v>132</v>
      </c>
      <c r="I105" s="221"/>
      <c r="J105" s="216" t="s">
        <v>184</v>
      </c>
      <c r="K105" s="242"/>
      <c r="L105" s="239" t="s">
        <v>80</v>
      </c>
      <c r="M105" s="217"/>
      <c r="N105" s="10" t="s">
        <v>43</v>
      </c>
      <c r="O105" s="225" t="s">
        <v>49</v>
      </c>
      <c r="P105" s="226"/>
      <c r="Q105" s="227"/>
      <c r="R105" s="228" t="s">
        <v>50</v>
      </c>
      <c r="S105" s="229"/>
      <c r="T105" s="229"/>
      <c r="U105" s="230"/>
      <c r="W105" s="10" t="s">
        <v>43</v>
      </c>
      <c r="X105" s="225" t="s">
        <v>49</v>
      </c>
      <c r="Y105" s="226"/>
      <c r="Z105" s="227"/>
      <c r="AA105" s="228" t="s">
        <v>50</v>
      </c>
      <c r="AB105" s="229"/>
      <c r="AC105" s="229"/>
      <c r="AD105" s="230"/>
    </row>
    <row r="106" spans="1:30" ht="16.149999999999999" customHeight="1" x14ac:dyDescent="0.25">
      <c r="A106" s="215"/>
      <c r="B106" s="44" t="s">
        <v>303</v>
      </c>
      <c r="C106" s="37">
        <v>60</v>
      </c>
      <c r="D106" s="128" t="s">
        <v>185</v>
      </c>
      <c r="E106" s="150">
        <v>40</v>
      </c>
      <c r="F106" s="128" t="s">
        <v>297</v>
      </c>
      <c r="G106" s="25">
        <v>20</v>
      </c>
      <c r="H106" s="22" t="s">
        <v>301</v>
      </c>
      <c r="I106" s="23">
        <v>100</v>
      </c>
      <c r="J106" s="151" t="s">
        <v>186</v>
      </c>
      <c r="K106" s="78">
        <v>20</v>
      </c>
      <c r="L106" s="56" t="s">
        <v>54</v>
      </c>
      <c r="M106" s="25">
        <v>100</v>
      </c>
      <c r="N106" s="26" t="e">
        <f>S107</f>
        <v>#REF!</v>
      </c>
      <c r="O106" s="11" t="s">
        <v>44</v>
      </c>
      <c r="P106" s="58">
        <f>M106/20+M107/55</f>
        <v>5.7272727272727275</v>
      </c>
      <c r="Q106" s="13" t="s">
        <v>45</v>
      </c>
      <c r="R106" s="79" t="s">
        <v>46</v>
      </c>
      <c r="S106" s="80" t="e">
        <f>P112</f>
        <v>#REF!</v>
      </c>
      <c r="T106" s="81" t="s">
        <v>47</v>
      </c>
      <c r="U106" s="82" t="s">
        <v>48</v>
      </c>
      <c r="W106" s="26">
        <f>AB107</f>
        <v>120.53235294117648</v>
      </c>
      <c r="X106" s="11" t="s">
        <v>44</v>
      </c>
      <c r="Y106" s="12">
        <f>M106/20+M107/20+G107/20+G108/85</f>
        <v>7.4588235294117649</v>
      </c>
      <c r="Z106" s="13" t="s">
        <v>45</v>
      </c>
      <c r="AA106" s="79" t="s">
        <v>46</v>
      </c>
      <c r="AB106" s="80">
        <f>Y112</f>
        <v>862.32402597402597</v>
      </c>
      <c r="AC106" s="81" t="s">
        <v>47</v>
      </c>
      <c r="AD106" s="82" t="s">
        <v>48</v>
      </c>
    </row>
    <row r="107" spans="1:30" ht="16.149999999999999" customHeight="1" x14ac:dyDescent="0.25">
      <c r="A107" s="215"/>
      <c r="B107" s="103"/>
      <c r="C107" s="137"/>
      <c r="D107" s="22" t="s">
        <v>89</v>
      </c>
      <c r="E107" s="152">
        <v>5</v>
      </c>
      <c r="F107" s="22" t="s">
        <v>298</v>
      </c>
      <c r="G107" s="43">
        <v>8</v>
      </c>
      <c r="H107" s="41"/>
      <c r="I107" s="42"/>
      <c r="J107" s="151" t="s">
        <v>187</v>
      </c>
      <c r="K107" s="60">
        <v>10</v>
      </c>
      <c r="L107" s="56" t="s">
        <v>86</v>
      </c>
      <c r="M107" s="45">
        <v>40</v>
      </c>
      <c r="N107" s="46" t="s">
        <v>62</v>
      </c>
      <c r="O107" s="27" t="s">
        <v>55</v>
      </c>
      <c r="P107" s="28" t="e">
        <f>#REF!/35+G110/40+#REF!/20+#REF!*0.6/40</f>
        <v>#REF!</v>
      </c>
      <c r="Q107" s="29" t="s">
        <v>45</v>
      </c>
      <c r="R107" s="30" t="s">
        <v>56</v>
      </c>
      <c r="S107" s="31" t="e">
        <f>P106*15+P108*5+P109*15+P110*12</f>
        <v>#REF!</v>
      </c>
      <c r="T107" s="29" t="s">
        <v>57</v>
      </c>
      <c r="U107" s="32" t="e">
        <f>S107*4/S106</f>
        <v>#REF!</v>
      </c>
      <c r="W107" s="46" t="s">
        <v>62</v>
      </c>
      <c r="X107" s="27" t="s">
        <v>55</v>
      </c>
      <c r="Y107" s="28">
        <f>C106/40+E108/55+E110/35+E111/50+K106/80+K111/110+K108/55+G106/50</f>
        <v>2.8164935064935062</v>
      </c>
      <c r="Z107" s="29" t="s">
        <v>45</v>
      </c>
      <c r="AA107" s="30" t="s">
        <v>56</v>
      </c>
      <c r="AB107" s="31">
        <f>Y106*15+Y108*5+Y109*15+Y110*12</f>
        <v>120.53235294117648</v>
      </c>
      <c r="AC107" s="29" t="s">
        <v>57</v>
      </c>
      <c r="AD107" s="32">
        <f>AB107*4/AB106</f>
        <v>0.5591046952682589</v>
      </c>
    </row>
    <row r="108" spans="1:30" ht="16.149999999999999" customHeight="1" x14ac:dyDescent="0.25">
      <c r="A108" s="215"/>
      <c r="B108" s="44"/>
      <c r="C108" s="37"/>
      <c r="D108" s="22" t="s">
        <v>188</v>
      </c>
      <c r="E108" s="152">
        <v>8</v>
      </c>
      <c r="F108" s="22" t="s">
        <v>299</v>
      </c>
      <c r="G108" s="43">
        <v>5</v>
      </c>
      <c r="H108" s="53"/>
      <c r="I108" s="43"/>
      <c r="J108" s="151" t="s">
        <v>51</v>
      </c>
      <c r="K108" s="110">
        <v>8</v>
      </c>
      <c r="L108" s="89"/>
      <c r="M108" s="90"/>
      <c r="N108" s="26" t="e">
        <f>S108</f>
        <v>#REF!</v>
      </c>
      <c r="O108" s="47" t="s">
        <v>63</v>
      </c>
      <c r="P108" s="28" t="e">
        <f>(C106+G106+G107+G108+G109+#REF!+#REF!+I106+#REF!)/100</f>
        <v>#REF!</v>
      </c>
      <c r="Q108" s="29" t="s">
        <v>45</v>
      </c>
      <c r="R108" s="30" t="s">
        <v>64</v>
      </c>
      <c r="S108" s="31" t="e">
        <f>P107*5+P110*4+P111*5</f>
        <v>#REF!</v>
      </c>
      <c r="T108" s="29" t="s">
        <v>57</v>
      </c>
      <c r="U108" s="32" t="e">
        <f>S108*9/S106</f>
        <v>#REF!</v>
      </c>
      <c r="W108" s="26">
        <f>AB108</f>
        <v>26.082467532467533</v>
      </c>
      <c r="X108" s="47" t="s">
        <v>63</v>
      </c>
      <c r="Y108" s="28">
        <f>(E106+E107+E109+G108+I106+K107+K109+K110)/100</f>
        <v>1.73</v>
      </c>
      <c r="Z108" s="29" t="s">
        <v>45</v>
      </c>
      <c r="AA108" s="30" t="s">
        <v>64</v>
      </c>
      <c r="AB108" s="31">
        <f>Y107*5+Y110*4+Y111*5</f>
        <v>26.082467532467533</v>
      </c>
      <c r="AC108" s="29" t="s">
        <v>57</v>
      </c>
      <c r="AD108" s="32">
        <f>AB108*9/AB106</f>
        <v>0.27222041914819439</v>
      </c>
    </row>
    <row r="109" spans="1:30" ht="16.149999999999999" customHeight="1" x14ac:dyDescent="0.25">
      <c r="A109" s="215"/>
      <c r="B109" s="44"/>
      <c r="C109" s="37"/>
      <c r="D109" s="22" t="s">
        <v>84</v>
      </c>
      <c r="E109" s="152">
        <v>5</v>
      </c>
      <c r="F109" s="44" t="s">
        <v>300</v>
      </c>
      <c r="G109" s="45">
        <v>1</v>
      </c>
      <c r="H109" s="53"/>
      <c r="I109" s="43"/>
      <c r="J109" s="151" t="s">
        <v>89</v>
      </c>
      <c r="K109" s="60">
        <v>3</v>
      </c>
      <c r="L109" s="89"/>
      <c r="M109" s="90"/>
      <c r="N109" s="46" t="s">
        <v>70</v>
      </c>
      <c r="O109" s="57" t="s">
        <v>67</v>
      </c>
      <c r="P109" s="58">
        <v>0</v>
      </c>
      <c r="Q109" s="29" t="s">
        <v>45</v>
      </c>
      <c r="R109" s="30" t="s">
        <v>68</v>
      </c>
      <c r="S109" s="31" t="e">
        <f>P106*2+P107*7+P108*1+P110*8</f>
        <v>#REF!</v>
      </c>
      <c r="T109" s="29" t="s">
        <v>57</v>
      </c>
      <c r="U109" s="32" t="e">
        <f>S109*4/S106</f>
        <v>#REF!</v>
      </c>
      <c r="W109" s="46" t="s">
        <v>70</v>
      </c>
      <c r="X109" s="61" t="s">
        <v>67</v>
      </c>
      <c r="Y109" s="58">
        <v>0</v>
      </c>
      <c r="Z109" s="29" t="s">
        <v>45</v>
      </c>
      <c r="AA109" s="30" t="s">
        <v>68</v>
      </c>
      <c r="AB109" s="31">
        <f>Y106*2+Y107*7+Y108*1+Y110*8</f>
        <v>36.363101604278064</v>
      </c>
      <c r="AC109" s="29" t="s">
        <v>57</v>
      </c>
      <c r="AD109" s="32">
        <f>AB109*4/AB106</f>
        <v>0.16867488558354679</v>
      </c>
    </row>
    <row r="110" spans="1:30" ht="16.149999999999999" customHeight="1" x14ac:dyDescent="0.25">
      <c r="A110" s="215" t="s">
        <v>88</v>
      </c>
      <c r="B110" s="95"/>
      <c r="C110" s="60"/>
      <c r="D110" s="22" t="s">
        <v>97</v>
      </c>
      <c r="E110" s="152">
        <v>5</v>
      </c>
      <c r="G110" s="153"/>
      <c r="H110" s="53"/>
      <c r="I110" s="43"/>
      <c r="J110" s="151" t="s">
        <v>84</v>
      </c>
      <c r="K110" s="60">
        <v>5</v>
      </c>
      <c r="L110" s="89"/>
      <c r="M110" s="90"/>
      <c r="N110" s="26" t="e">
        <f>S109</f>
        <v>#REF!</v>
      </c>
      <c r="O110" s="61" t="s">
        <v>71</v>
      </c>
      <c r="P110" s="58">
        <v>0</v>
      </c>
      <c r="Q110" s="29" t="s">
        <v>45</v>
      </c>
      <c r="R110" s="62"/>
      <c r="S110" s="62"/>
      <c r="T110" s="62"/>
      <c r="U110" s="63" t="e">
        <f>SUM(U107:U109)</f>
        <v>#REF!</v>
      </c>
      <c r="W110" s="26">
        <f>AB109</f>
        <v>36.363101604278064</v>
      </c>
      <c r="X110" s="61" t="s">
        <v>71</v>
      </c>
      <c r="Y110" s="58">
        <v>0</v>
      </c>
      <c r="Z110" s="29" t="s">
        <v>45</v>
      </c>
      <c r="AA110" s="62"/>
      <c r="AB110" s="62"/>
      <c r="AC110" s="62"/>
      <c r="AD110" s="63">
        <f>SUM(AD107:AD109)</f>
        <v>1</v>
      </c>
    </row>
    <row r="111" spans="1:30" ht="16.149999999999999" customHeight="1" x14ac:dyDescent="0.25">
      <c r="A111" s="215"/>
      <c r="B111" s="95"/>
      <c r="C111" s="60"/>
      <c r="D111" s="51" t="s">
        <v>87</v>
      </c>
      <c r="E111" s="152">
        <v>8</v>
      </c>
      <c r="F111" s="22"/>
      <c r="G111" s="45"/>
      <c r="H111" s="53"/>
      <c r="I111" s="43"/>
      <c r="J111" s="151" t="s">
        <v>189</v>
      </c>
      <c r="K111" s="60">
        <v>8</v>
      </c>
      <c r="L111" s="89"/>
      <c r="M111" s="90"/>
      <c r="N111" s="46" t="s">
        <v>74</v>
      </c>
      <c r="O111" s="65" t="s">
        <v>73</v>
      </c>
      <c r="P111" s="58">
        <v>2.5</v>
      </c>
      <c r="Q111" s="29" t="s">
        <v>45</v>
      </c>
      <c r="R111" s="66"/>
      <c r="S111" s="66"/>
      <c r="T111" s="66"/>
      <c r="U111" s="67"/>
      <c r="W111" s="46" t="s">
        <v>74</v>
      </c>
      <c r="X111" s="65" t="s">
        <v>73</v>
      </c>
      <c r="Y111" s="58">
        <v>2.4</v>
      </c>
      <c r="Z111" s="29" t="s">
        <v>45</v>
      </c>
      <c r="AA111" s="66"/>
      <c r="AB111" s="66"/>
      <c r="AC111" s="66"/>
      <c r="AD111" s="67"/>
    </row>
    <row r="112" spans="1:30" ht="16.149999999999999" customHeight="1" thickBot="1" x14ac:dyDescent="0.3">
      <c r="A112" s="231"/>
      <c r="B112" s="232" t="s">
        <v>92</v>
      </c>
      <c r="C112" s="233"/>
      <c r="D112" s="232" t="s">
        <v>77</v>
      </c>
      <c r="E112" s="233"/>
      <c r="F112" s="232" t="s">
        <v>258</v>
      </c>
      <c r="G112" s="233"/>
      <c r="H112" s="232" t="s">
        <v>78</v>
      </c>
      <c r="I112" s="233"/>
      <c r="J112" s="232" t="s">
        <v>77</v>
      </c>
      <c r="K112" s="233"/>
      <c r="L112" s="232" t="s">
        <v>79</v>
      </c>
      <c r="M112" s="233"/>
      <c r="N112" s="73" t="e">
        <f>P112</f>
        <v>#REF!</v>
      </c>
      <c r="O112" s="68" t="s">
        <v>75</v>
      </c>
      <c r="P112" s="69" t="e">
        <f>P106*68+P107*73+P108*24+P109*60+P110*112+P111*45</f>
        <v>#REF!</v>
      </c>
      <c r="Q112" s="70" t="s">
        <v>47</v>
      </c>
      <c r="R112" s="71"/>
      <c r="S112" s="71"/>
      <c r="T112" s="71"/>
      <c r="U112" s="72"/>
      <c r="W112" s="73">
        <f>Y112</f>
        <v>862.32402597402597</v>
      </c>
      <c r="X112" s="68" t="s">
        <v>75</v>
      </c>
      <c r="Y112" s="69">
        <f>Y106*68+Y107*73+Y108*24+Y109*60+Y110*112+Y111*45</f>
        <v>862.32402597402597</v>
      </c>
      <c r="Z112" s="70" t="s">
        <v>47</v>
      </c>
      <c r="AA112" s="71"/>
      <c r="AB112" s="71"/>
      <c r="AC112" s="71"/>
      <c r="AD112" s="72"/>
    </row>
    <row r="113" spans="1:30" ht="16.149999999999999" customHeight="1" thickBot="1" x14ac:dyDescent="0.3">
      <c r="A113" s="214">
        <f>A105+1</f>
        <v>44027</v>
      </c>
      <c r="B113" s="219"/>
      <c r="C113" s="238"/>
      <c r="D113" s="219"/>
      <c r="E113" s="220"/>
      <c r="F113" s="219"/>
      <c r="G113" s="220"/>
      <c r="H113" s="216"/>
      <c r="I113" s="221"/>
      <c r="J113" s="219"/>
      <c r="K113" s="220"/>
      <c r="L113" s="256"/>
      <c r="M113" s="256"/>
      <c r="N113" s="10" t="s">
        <v>43</v>
      </c>
      <c r="O113" s="225" t="s">
        <v>49</v>
      </c>
      <c r="P113" s="226"/>
      <c r="Q113" s="227"/>
      <c r="R113" s="228" t="s">
        <v>50</v>
      </c>
      <c r="S113" s="229"/>
      <c r="T113" s="229"/>
      <c r="U113" s="230"/>
      <c r="W113" s="10" t="s">
        <v>43</v>
      </c>
      <c r="X113" s="225" t="s">
        <v>49</v>
      </c>
      <c r="Y113" s="226"/>
      <c r="Z113" s="227"/>
      <c r="AA113" s="228" t="s">
        <v>50</v>
      </c>
      <c r="AB113" s="229"/>
      <c r="AC113" s="229"/>
      <c r="AD113" s="230"/>
    </row>
    <row r="114" spans="1:30" ht="16.149999999999999" customHeight="1" x14ac:dyDescent="0.25">
      <c r="A114" s="215"/>
      <c r="B114" s="77"/>
      <c r="C114" s="78"/>
      <c r="D114" s="24"/>
      <c r="E114" s="131"/>
      <c r="F114" s="24"/>
      <c r="G114" s="131"/>
      <c r="H114" s="21"/>
      <c r="I114" s="23"/>
      <c r="J114" s="136"/>
      <c r="K114" s="25"/>
      <c r="L114" s="100"/>
      <c r="M114" s="101"/>
      <c r="N114" s="26" t="e">
        <f>S115</f>
        <v>#REF!</v>
      </c>
      <c r="O114" s="11" t="s">
        <v>44</v>
      </c>
      <c r="P114" s="58">
        <f>C116/90+M114/20</f>
        <v>0</v>
      </c>
      <c r="Q114" s="13" t="s">
        <v>45</v>
      </c>
      <c r="R114" s="79" t="s">
        <v>46</v>
      </c>
      <c r="S114" s="80" t="e">
        <f>P120</f>
        <v>#REF!</v>
      </c>
      <c r="T114" s="81" t="s">
        <v>47</v>
      </c>
      <c r="U114" s="102"/>
      <c r="W114" s="26">
        <f>AB115</f>
        <v>0</v>
      </c>
      <c r="X114" s="11" t="s">
        <v>44</v>
      </c>
      <c r="Y114" s="12">
        <f>M114/20+G114/90</f>
        <v>0</v>
      </c>
      <c r="Z114" s="13" t="s">
        <v>45</v>
      </c>
      <c r="AA114" s="79" t="s">
        <v>46</v>
      </c>
      <c r="AB114" s="80">
        <f>Y120</f>
        <v>108</v>
      </c>
      <c r="AC114" s="81" t="s">
        <v>47</v>
      </c>
      <c r="AD114" s="102"/>
    </row>
    <row r="115" spans="1:30" ht="16.149999999999999" customHeight="1" x14ac:dyDescent="0.25">
      <c r="A115" s="215"/>
      <c r="B115" s="41"/>
      <c r="C115" s="43"/>
      <c r="D115" s="41"/>
      <c r="E115" s="42"/>
      <c r="F115" s="41"/>
      <c r="G115" s="42"/>
      <c r="H115" s="107"/>
      <c r="I115" s="55"/>
      <c r="J115" s="107"/>
      <c r="K115" s="43"/>
      <c r="L115" s="89"/>
      <c r="M115" s="90"/>
      <c r="N115" s="46" t="s">
        <v>62</v>
      </c>
      <c r="O115" s="27" t="s">
        <v>55</v>
      </c>
      <c r="P115" s="28" t="e">
        <f>C114*0.68/40+#REF!/35+E116/25+E118/3/35+K114/225</f>
        <v>#REF!</v>
      </c>
      <c r="Q115" s="29" t="s">
        <v>45</v>
      </c>
      <c r="R115" s="30" t="s">
        <v>56</v>
      </c>
      <c r="S115" s="31" t="e">
        <f>P114*15+P116*5+P117*15+P118*12</f>
        <v>#REF!</v>
      </c>
      <c r="T115" s="29" t="s">
        <v>57</v>
      </c>
      <c r="U115" s="32" t="e">
        <f>S115*4/S114</f>
        <v>#REF!</v>
      </c>
      <c r="W115" s="46" t="s">
        <v>62</v>
      </c>
      <c r="X115" s="27" t="s">
        <v>55</v>
      </c>
      <c r="Y115" s="28">
        <f>C114*0.6/40+K115/55+E115/35</f>
        <v>0</v>
      </c>
      <c r="Z115" s="29" t="s">
        <v>45</v>
      </c>
      <c r="AA115" s="30" t="s">
        <v>56</v>
      </c>
      <c r="AB115" s="31">
        <f>Y114*15+Y116*5+Y117*15+Y118*12</f>
        <v>0</v>
      </c>
      <c r="AC115" s="29" t="s">
        <v>57</v>
      </c>
      <c r="AD115" s="32">
        <f>AB115*4/AB114</f>
        <v>0</v>
      </c>
    </row>
    <row r="116" spans="1:30" ht="16.149999999999999" customHeight="1" x14ac:dyDescent="0.25">
      <c r="A116" s="215"/>
      <c r="B116" s="41"/>
      <c r="C116" s="43"/>
      <c r="D116" s="41"/>
      <c r="E116" s="42"/>
      <c r="F116" s="41"/>
      <c r="G116" s="42"/>
      <c r="H116" s="107"/>
      <c r="I116" s="43"/>
      <c r="J116" s="107"/>
      <c r="K116" s="45"/>
      <c r="L116" s="89"/>
      <c r="M116" s="90"/>
      <c r="N116" s="26" t="e">
        <f>S116</f>
        <v>#REF!</v>
      </c>
      <c r="O116" s="47" t="s">
        <v>63</v>
      </c>
      <c r="P116" s="28" t="e">
        <f>(C117+E114+E115+G114+G115+#REF!+G117+I114+K115+K116+K117)/100</f>
        <v>#REF!</v>
      </c>
      <c r="Q116" s="29" t="s">
        <v>45</v>
      </c>
      <c r="R116" s="30" t="s">
        <v>64</v>
      </c>
      <c r="S116" s="31" t="e">
        <f>P115*5+P118*4+P119*5</f>
        <v>#REF!</v>
      </c>
      <c r="T116" s="29" t="s">
        <v>57</v>
      </c>
      <c r="U116" s="32" t="e">
        <f>S116*9/S114</f>
        <v>#REF!</v>
      </c>
      <c r="W116" s="26">
        <f>AB116</f>
        <v>12</v>
      </c>
      <c r="X116" s="47" t="s">
        <v>63</v>
      </c>
      <c r="Y116" s="28">
        <f>(C115+E116+G116+I114+K114+E114+G115+E117)/100</f>
        <v>0</v>
      </c>
      <c r="Z116" s="29" t="s">
        <v>45</v>
      </c>
      <c r="AA116" s="30" t="s">
        <v>64</v>
      </c>
      <c r="AB116" s="31">
        <f>Y115*5+Y118*4+Y119*5</f>
        <v>12</v>
      </c>
      <c r="AC116" s="29" t="s">
        <v>57</v>
      </c>
      <c r="AD116" s="32">
        <f>AB116*9/AB114</f>
        <v>1</v>
      </c>
    </row>
    <row r="117" spans="1:30" ht="16.149999999999999" customHeight="1" x14ac:dyDescent="0.25">
      <c r="A117" s="215"/>
      <c r="B117" s="41"/>
      <c r="C117" s="153"/>
      <c r="D117" s="86"/>
      <c r="E117" s="20"/>
      <c r="F117" s="86"/>
      <c r="G117" s="20"/>
      <c r="H117" s="107"/>
      <c r="I117" s="43"/>
      <c r="J117" s="107"/>
      <c r="K117" s="45"/>
      <c r="L117" s="95"/>
      <c r="M117" s="60"/>
      <c r="N117" s="46" t="s">
        <v>70</v>
      </c>
      <c r="O117" s="57" t="s">
        <v>67</v>
      </c>
      <c r="P117" s="58">
        <v>0</v>
      </c>
      <c r="Q117" s="29" t="s">
        <v>45</v>
      </c>
      <c r="R117" s="30" t="s">
        <v>68</v>
      </c>
      <c r="S117" s="31" t="e">
        <f>P114*2+P115*7+P116*1+P118*8</f>
        <v>#REF!</v>
      </c>
      <c r="T117" s="29" t="s">
        <v>57</v>
      </c>
      <c r="U117" s="32" t="e">
        <f>S117*4/S114</f>
        <v>#REF!</v>
      </c>
      <c r="W117" s="46" t="s">
        <v>70</v>
      </c>
      <c r="X117" s="61" t="s">
        <v>67</v>
      </c>
      <c r="Y117" s="58">
        <v>0</v>
      </c>
      <c r="Z117" s="29" t="s">
        <v>45</v>
      </c>
      <c r="AA117" s="30" t="s">
        <v>68</v>
      </c>
      <c r="AB117" s="31">
        <f>Y114*2+Y115*7+Y116*1+Y118*8</f>
        <v>0</v>
      </c>
      <c r="AC117" s="29" t="s">
        <v>57</v>
      </c>
      <c r="AD117" s="32">
        <f>AB117*4/AB114</f>
        <v>0</v>
      </c>
    </row>
    <row r="118" spans="1:30" ht="16.149999999999999" customHeight="1" x14ac:dyDescent="0.25">
      <c r="A118" s="215" t="s">
        <v>106</v>
      </c>
      <c r="B118" s="41"/>
      <c r="C118" s="154"/>
      <c r="D118" s="120"/>
      <c r="E118" s="42"/>
      <c r="F118" s="120"/>
      <c r="G118" s="42"/>
      <c r="H118" s="107"/>
      <c r="I118" s="43"/>
      <c r="J118" s="155"/>
      <c r="K118" s="110"/>
      <c r="L118" s="89"/>
      <c r="M118" s="90"/>
      <c r="N118" s="26" t="e">
        <f>S117</f>
        <v>#REF!</v>
      </c>
      <c r="O118" s="61" t="s">
        <v>71</v>
      </c>
      <c r="P118" s="58">
        <v>0</v>
      </c>
      <c r="Q118" s="29" t="s">
        <v>45</v>
      </c>
      <c r="R118" s="62"/>
      <c r="S118" s="62"/>
      <c r="T118" s="62"/>
      <c r="U118" s="63" t="e">
        <f>SUM(U115:U117)</f>
        <v>#REF!</v>
      </c>
      <c r="W118" s="26">
        <f>AB117</f>
        <v>0</v>
      </c>
      <c r="X118" s="61" t="s">
        <v>71</v>
      </c>
      <c r="Y118" s="58">
        <v>0</v>
      </c>
      <c r="Z118" s="29" t="s">
        <v>45</v>
      </c>
      <c r="AA118" s="62"/>
      <c r="AB118" s="62"/>
      <c r="AC118" s="62"/>
      <c r="AD118" s="63">
        <f>SUM(AD115:AD117)</f>
        <v>1</v>
      </c>
    </row>
    <row r="119" spans="1:30" ht="16.149999999999999" customHeight="1" x14ac:dyDescent="0.25">
      <c r="A119" s="215"/>
      <c r="B119" s="44"/>
      <c r="C119" s="37"/>
      <c r="D119" s="51"/>
      <c r="E119" s="97"/>
      <c r="F119" s="51"/>
      <c r="G119" s="97"/>
      <c r="H119" s="149"/>
      <c r="I119" s="116"/>
      <c r="J119" s="91"/>
      <c r="K119" s="112"/>
      <c r="L119" s="109"/>
      <c r="M119" s="110"/>
      <c r="N119" s="46" t="s">
        <v>74</v>
      </c>
      <c r="O119" s="65" t="s">
        <v>73</v>
      </c>
      <c r="P119" s="58">
        <v>2.5</v>
      </c>
      <c r="Q119" s="29" t="s">
        <v>45</v>
      </c>
      <c r="R119" s="66"/>
      <c r="S119" s="66"/>
      <c r="T119" s="66"/>
      <c r="U119" s="67"/>
      <c r="W119" s="46" t="s">
        <v>74</v>
      </c>
      <c r="X119" s="65" t="s">
        <v>73</v>
      </c>
      <c r="Y119" s="58">
        <v>2.4</v>
      </c>
      <c r="Z119" s="29" t="s">
        <v>45</v>
      </c>
      <c r="AA119" s="66"/>
      <c r="AB119" s="66"/>
      <c r="AC119" s="66"/>
      <c r="AD119" s="67"/>
    </row>
    <row r="120" spans="1:30" ht="16.149999999999999" customHeight="1" thickBot="1" x14ac:dyDescent="0.3">
      <c r="A120" s="231"/>
      <c r="B120" s="232"/>
      <c r="C120" s="233"/>
      <c r="D120" s="253"/>
      <c r="E120" s="235"/>
      <c r="F120" s="253"/>
      <c r="G120" s="235"/>
      <c r="H120" s="232"/>
      <c r="I120" s="233"/>
      <c r="J120" s="232"/>
      <c r="K120" s="233"/>
      <c r="L120" s="232"/>
      <c r="M120" s="233"/>
      <c r="N120" s="73" t="e">
        <f>P120</f>
        <v>#REF!</v>
      </c>
      <c r="O120" s="68" t="s">
        <v>75</v>
      </c>
      <c r="P120" s="69" t="e">
        <f>P114*68+P115*73+P116*24+P117*60+P118*112+P119*45</f>
        <v>#REF!</v>
      </c>
      <c r="Q120" s="70" t="s">
        <v>47</v>
      </c>
      <c r="R120" s="71"/>
      <c r="S120" s="71"/>
      <c r="T120" s="71"/>
      <c r="U120" s="72"/>
      <c r="W120" s="73">
        <f>Y120</f>
        <v>108</v>
      </c>
      <c r="X120" s="68" t="s">
        <v>75</v>
      </c>
      <c r="Y120" s="69">
        <f>Y114*68+Y115*73+Y116*24+Y117*60+Y118*112+Y119*45</f>
        <v>108</v>
      </c>
      <c r="Z120" s="70" t="s">
        <v>47</v>
      </c>
      <c r="AA120" s="71"/>
      <c r="AB120" s="71"/>
      <c r="AC120" s="71"/>
      <c r="AD120" s="72"/>
    </row>
    <row r="121" spans="1:30" ht="16.149999999999999" customHeight="1" thickBot="1" x14ac:dyDescent="0.3">
      <c r="A121" s="214">
        <f>A113+1</f>
        <v>44028</v>
      </c>
      <c r="B121" s="219"/>
      <c r="C121" s="220"/>
      <c r="D121" s="219"/>
      <c r="E121" s="220"/>
      <c r="F121" s="219"/>
      <c r="G121" s="220"/>
      <c r="H121" s="216"/>
      <c r="I121" s="221"/>
      <c r="J121" s="219"/>
      <c r="K121" s="220"/>
      <c r="L121" s="223"/>
      <c r="M121" s="224"/>
      <c r="N121" s="10" t="s">
        <v>43</v>
      </c>
      <c r="O121" s="225" t="s">
        <v>49</v>
      </c>
      <c r="P121" s="226"/>
      <c r="Q121" s="227"/>
      <c r="R121" s="228" t="s">
        <v>50</v>
      </c>
      <c r="S121" s="229"/>
      <c r="T121" s="229"/>
      <c r="U121" s="230"/>
      <c r="W121" s="10" t="s">
        <v>43</v>
      </c>
      <c r="X121" s="225" t="s">
        <v>49</v>
      </c>
      <c r="Y121" s="226"/>
      <c r="Z121" s="227"/>
      <c r="AA121" s="228" t="s">
        <v>50</v>
      </c>
      <c r="AB121" s="229"/>
      <c r="AC121" s="229"/>
      <c r="AD121" s="230"/>
    </row>
    <row r="122" spans="1:30" ht="16.149999999999999" customHeight="1" x14ac:dyDescent="0.25">
      <c r="A122" s="215"/>
      <c r="B122" s="77"/>
      <c r="C122" s="25"/>
      <c r="D122" s="17"/>
      <c r="E122" s="18"/>
      <c r="F122" s="53"/>
      <c r="G122" s="43"/>
      <c r="H122" s="128"/>
      <c r="I122" s="142"/>
      <c r="J122" s="77"/>
      <c r="K122" s="78"/>
      <c r="L122" s="24"/>
      <c r="M122" s="25"/>
      <c r="N122" s="26">
        <f>S123</f>
        <v>1</v>
      </c>
      <c r="O122" s="11" t="s">
        <v>44</v>
      </c>
      <c r="P122" s="58">
        <f>E122/65+E124/45+E125/90+M122/20</f>
        <v>0</v>
      </c>
      <c r="Q122" s="13" t="s">
        <v>45</v>
      </c>
      <c r="R122" s="79" t="s">
        <v>46</v>
      </c>
      <c r="S122" s="80">
        <f>P128</f>
        <v>128.14571428571429</v>
      </c>
      <c r="T122" s="81" t="s">
        <v>47</v>
      </c>
      <c r="U122" s="82" t="s">
        <v>48</v>
      </c>
      <c r="W122" s="26">
        <f>AB123</f>
        <v>0</v>
      </c>
      <c r="X122" s="11" t="s">
        <v>44</v>
      </c>
      <c r="Y122" s="12">
        <f>M122/20+M123/20+K123*0.3/35</f>
        <v>0</v>
      </c>
      <c r="Z122" s="13" t="s">
        <v>45</v>
      </c>
      <c r="AA122" s="79" t="s">
        <v>46</v>
      </c>
      <c r="AB122" s="80">
        <f>Y128</f>
        <v>108</v>
      </c>
      <c r="AC122" s="81" t="s">
        <v>47</v>
      </c>
      <c r="AD122" s="82" t="s">
        <v>48</v>
      </c>
    </row>
    <row r="123" spans="1:30" ht="16.149999999999999" customHeight="1" x14ac:dyDescent="0.25">
      <c r="A123" s="215"/>
      <c r="B123" s="53"/>
      <c r="C123" s="45"/>
      <c r="D123" s="56"/>
      <c r="E123" s="37"/>
      <c r="F123" s="22"/>
      <c r="G123" s="20"/>
      <c r="H123" s="91"/>
      <c r="I123" s="112"/>
      <c r="J123" s="59"/>
      <c r="K123" s="60"/>
      <c r="L123" s="44"/>
      <c r="M123" s="45"/>
      <c r="N123" s="46" t="s">
        <v>62</v>
      </c>
      <c r="O123" s="27" t="s">
        <v>55</v>
      </c>
      <c r="P123" s="28">
        <f>C122/35+E126/35+G125/35+K99*0.65/35</f>
        <v>0.14857142857142858</v>
      </c>
      <c r="Q123" s="29" t="s">
        <v>45</v>
      </c>
      <c r="R123" s="30" t="s">
        <v>56</v>
      </c>
      <c r="S123" s="31">
        <f>P122*15+P124*5+P125*15+P126*12</f>
        <v>1</v>
      </c>
      <c r="T123" s="29" t="s">
        <v>57</v>
      </c>
      <c r="U123" s="32">
        <f>S123*4/S122</f>
        <v>3.1214465675235781E-2</v>
      </c>
      <c r="W123" s="46" t="s">
        <v>62</v>
      </c>
      <c r="X123" s="27" t="s">
        <v>55</v>
      </c>
      <c r="Y123" s="28">
        <f>C122/35+E122/55+G123/40+K123*0.3/35</f>
        <v>0</v>
      </c>
      <c r="Z123" s="29" t="s">
        <v>45</v>
      </c>
      <c r="AA123" s="30" t="s">
        <v>56</v>
      </c>
      <c r="AB123" s="31">
        <f>Y122*15+Y124*5+Y125*15+Y126*12</f>
        <v>0</v>
      </c>
      <c r="AC123" s="29" t="s">
        <v>57</v>
      </c>
      <c r="AD123" s="32">
        <f>AB123*4/AB122</f>
        <v>0</v>
      </c>
    </row>
    <row r="124" spans="1:30" ht="16.149999999999999" customHeight="1" x14ac:dyDescent="0.25">
      <c r="A124" s="215"/>
      <c r="B124" s="120"/>
      <c r="C124" s="45"/>
      <c r="D124" s="41"/>
      <c r="E124" s="37"/>
      <c r="F124" s="41"/>
      <c r="G124" s="43"/>
      <c r="H124" s="56"/>
      <c r="I124" s="45"/>
      <c r="J124" s="103"/>
      <c r="K124" s="55"/>
      <c r="L124" s="56"/>
      <c r="M124" s="116"/>
      <c r="N124" s="26">
        <f>S124</f>
        <v>13.242857142857144</v>
      </c>
      <c r="O124" s="47" t="s">
        <v>63</v>
      </c>
      <c r="P124" s="28">
        <f>(E123+E127+G122+G123+G124+I122+K98)/100</f>
        <v>0.2</v>
      </c>
      <c r="Q124" s="29" t="s">
        <v>45</v>
      </c>
      <c r="R124" s="30" t="s">
        <v>64</v>
      </c>
      <c r="S124" s="31">
        <f>P123*5+P126*4+P127*5</f>
        <v>13.242857142857144</v>
      </c>
      <c r="T124" s="29" t="s">
        <v>57</v>
      </c>
      <c r="U124" s="32">
        <f>S124*9/S122</f>
        <v>0.93007959688747188</v>
      </c>
      <c r="W124" s="26">
        <f>AB124</f>
        <v>12</v>
      </c>
      <c r="X124" s="47" t="s">
        <v>63</v>
      </c>
      <c r="Y124" s="28">
        <f>(C123+C124+E124+E125+E123+G122+G124+I122+K122)/100</f>
        <v>0</v>
      </c>
      <c r="Z124" s="29" t="s">
        <v>45</v>
      </c>
      <c r="AA124" s="30" t="s">
        <v>64</v>
      </c>
      <c r="AB124" s="31">
        <f>Y123*5+Y126*4+Y127*5</f>
        <v>12</v>
      </c>
      <c r="AC124" s="29" t="s">
        <v>57</v>
      </c>
      <c r="AD124" s="32">
        <f>AB124*9/AB122</f>
        <v>1</v>
      </c>
    </row>
    <row r="125" spans="1:30" ht="16.149999999999999" customHeight="1" x14ac:dyDescent="0.25">
      <c r="A125" s="215"/>
      <c r="B125" s="59"/>
      <c r="C125" s="60"/>
      <c r="D125" s="93"/>
      <c r="E125" s="129"/>
      <c r="F125" s="41"/>
      <c r="G125" s="43"/>
      <c r="H125" s="51"/>
      <c r="I125" s="52"/>
      <c r="J125" s="56"/>
      <c r="K125" s="116"/>
      <c r="L125" s="56"/>
      <c r="M125" s="116"/>
      <c r="N125" s="46" t="s">
        <v>70</v>
      </c>
      <c r="O125" s="57" t="s">
        <v>67</v>
      </c>
      <c r="P125" s="58">
        <v>0</v>
      </c>
      <c r="Q125" s="29" t="s">
        <v>45</v>
      </c>
      <c r="R125" s="30" t="s">
        <v>68</v>
      </c>
      <c r="S125" s="31">
        <f>P122*2+P123*7+P124*1+P126*8</f>
        <v>1.24</v>
      </c>
      <c r="T125" s="29" t="s">
        <v>57</v>
      </c>
      <c r="U125" s="32">
        <f>S125*4/S122</f>
        <v>3.8705937437292365E-2</v>
      </c>
      <c r="W125" s="46" t="s">
        <v>70</v>
      </c>
      <c r="X125" s="61" t="s">
        <v>67</v>
      </c>
      <c r="Y125" s="58">
        <v>0</v>
      </c>
      <c r="Z125" s="29" t="s">
        <v>45</v>
      </c>
      <c r="AA125" s="30" t="s">
        <v>68</v>
      </c>
      <c r="AB125" s="31">
        <f>Y122*2+Y123*7+Y124*1+Y126*8</f>
        <v>0</v>
      </c>
      <c r="AC125" s="29" t="s">
        <v>57</v>
      </c>
      <c r="AD125" s="32">
        <f>AB125*4/AB122</f>
        <v>0</v>
      </c>
    </row>
    <row r="126" spans="1:30" ht="16.149999999999999" customHeight="1" x14ac:dyDescent="0.25">
      <c r="A126" s="215" t="s">
        <v>112</v>
      </c>
      <c r="B126" s="59"/>
      <c r="C126" s="60"/>
      <c r="D126" s="59"/>
      <c r="E126" s="60"/>
      <c r="F126" s="149"/>
      <c r="G126" s="43"/>
      <c r="H126" s="59"/>
      <c r="I126" s="144"/>
      <c r="J126" s="56"/>
      <c r="K126" s="116"/>
      <c r="L126" s="56"/>
      <c r="M126" s="116"/>
      <c r="N126" s="26">
        <f>S125</f>
        <v>1.24</v>
      </c>
      <c r="O126" s="61" t="s">
        <v>71</v>
      </c>
      <c r="P126" s="58">
        <v>0</v>
      </c>
      <c r="Q126" s="29" t="s">
        <v>45</v>
      </c>
      <c r="R126" s="62"/>
      <c r="S126" s="62"/>
      <c r="T126" s="62"/>
      <c r="U126" s="63">
        <f>SUM(U123:U125)</f>
        <v>1</v>
      </c>
      <c r="W126" s="26">
        <f>AB125</f>
        <v>0</v>
      </c>
      <c r="X126" s="61" t="s">
        <v>71</v>
      </c>
      <c r="Y126" s="58">
        <v>0</v>
      </c>
      <c r="Z126" s="29" t="s">
        <v>45</v>
      </c>
      <c r="AA126" s="62"/>
      <c r="AB126" s="62"/>
      <c r="AC126" s="62"/>
      <c r="AD126" s="63">
        <f>SUM(AD123:AD125)</f>
        <v>1</v>
      </c>
    </row>
    <row r="127" spans="1:30" ht="16.149999999999999" customHeight="1" x14ac:dyDescent="0.25">
      <c r="A127" s="215"/>
      <c r="B127" s="59"/>
      <c r="C127" s="60"/>
      <c r="D127" s="56"/>
      <c r="E127" s="45"/>
      <c r="F127" s="53"/>
      <c r="G127" s="43"/>
      <c r="H127" s="59"/>
      <c r="I127" s="144"/>
      <c r="L127" s="44"/>
      <c r="M127" s="110"/>
      <c r="N127" s="46" t="s">
        <v>74</v>
      </c>
      <c r="O127" s="65" t="s">
        <v>73</v>
      </c>
      <c r="P127" s="58">
        <v>2.5</v>
      </c>
      <c r="Q127" s="29" t="s">
        <v>45</v>
      </c>
      <c r="R127" s="66"/>
      <c r="S127" s="66"/>
      <c r="T127" s="66"/>
      <c r="U127" s="67"/>
      <c r="W127" s="46" t="s">
        <v>74</v>
      </c>
      <c r="X127" s="65" t="s">
        <v>73</v>
      </c>
      <c r="Y127" s="58">
        <v>2.4</v>
      </c>
      <c r="Z127" s="29" t="s">
        <v>45</v>
      </c>
      <c r="AA127" s="66"/>
      <c r="AB127" s="66"/>
      <c r="AC127" s="66"/>
      <c r="AD127" s="67"/>
    </row>
    <row r="128" spans="1:30" ht="16.149999999999999" customHeight="1" thickBot="1" x14ac:dyDescent="0.3">
      <c r="A128" s="231"/>
      <c r="B128" s="232"/>
      <c r="C128" s="233"/>
      <c r="D128" s="232"/>
      <c r="E128" s="233"/>
      <c r="F128" s="237"/>
      <c r="G128" s="233"/>
      <c r="H128" s="232"/>
      <c r="I128" s="233"/>
      <c r="J128" s="232"/>
      <c r="K128" s="233"/>
      <c r="L128" s="232"/>
      <c r="M128" s="233"/>
      <c r="N128" s="73">
        <f>P128</f>
        <v>128.14571428571429</v>
      </c>
      <c r="O128" s="68" t="s">
        <v>75</v>
      </c>
      <c r="P128" s="69">
        <f>P122*68+P123*73+P124*24+P125*60+P126*112+P127*45</f>
        <v>128.14571428571429</v>
      </c>
      <c r="Q128" s="70" t="s">
        <v>47</v>
      </c>
      <c r="R128" s="71"/>
      <c r="S128" s="71"/>
      <c r="T128" s="71"/>
      <c r="U128" s="72"/>
      <c r="W128" s="73">
        <f>Y128</f>
        <v>108</v>
      </c>
      <c r="X128" s="68" t="s">
        <v>75</v>
      </c>
      <c r="Y128" s="69">
        <f>Y122*68+Y123*73+Y124*24+Y125*60+Y126*112+Y127*45</f>
        <v>108</v>
      </c>
      <c r="Z128" s="70" t="s">
        <v>47</v>
      </c>
      <c r="AA128" s="71"/>
      <c r="AB128" s="71"/>
      <c r="AC128" s="71"/>
      <c r="AD128" s="72"/>
    </row>
    <row r="129" spans="1:30" ht="16.149999999999999" customHeight="1" thickBot="1" x14ac:dyDescent="0.3">
      <c r="A129" s="214">
        <f>A121+1</f>
        <v>44029</v>
      </c>
      <c r="B129" s="219"/>
      <c r="C129" s="220"/>
      <c r="D129" s="219"/>
      <c r="E129" s="220"/>
      <c r="F129" s="219"/>
      <c r="G129" s="220"/>
      <c r="H129" s="216"/>
      <c r="I129" s="221"/>
      <c r="J129" s="216"/>
      <c r="K129" s="217"/>
      <c r="L129" s="216"/>
      <c r="M129" s="217"/>
      <c r="N129" s="10" t="s">
        <v>43</v>
      </c>
      <c r="O129" s="225" t="s">
        <v>49</v>
      </c>
      <c r="P129" s="226"/>
      <c r="Q129" s="227"/>
      <c r="R129" s="228" t="s">
        <v>50</v>
      </c>
      <c r="S129" s="229"/>
      <c r="T129" s="229"/>
      <c r="U129" s="230"/>
      <c r="W129" s="10" t="s">
        <v>43</v>
      </c>
      <c r="X129" s="225" t="s">
        <v>49</v>
      </c>
      <c r="Y129" s="226"/>
      <c r="Z129" s="227"/>
      <c r="AA129" s="228" t="s">
        <v>50</v>
      </c>
      <c r="AB129" s="229"/>
      <c r="AC129" s="229"/>
      <c r="AD129" s="230"/>
    </row>
    <row r="130" spans="1:30" ht="16.149999999999999" customHeight="1" x14ac:dyDescent="0.25">
      <c r="A130" s="215"/>
      <c r="B130" s="41"/>
      <c r="C130" s="45"/>
      <c r="D130" s="34"/>
      <c r="E130" s="35"/>
      <c r="F130" s="22"/>
      <c r="G130" s="20"/>
      <c r="H130" s="17"/>
      <c r="I130" s="99"/>
      <c r="J130" s="24"/>
      <c r="K130" s="25"/>
      <c r="L130" s="122"/>
      <c r="M130" s="25"/>
      <c r="N130" s="26" t="e">
        <f>S131</f>
        <v>#REF!</v>
      </c>
      <c r="O130" s="11" t="s">
        <v>44</v>
      </c>
      <c r="P130" s="58">
        <f>E130/65+E132/45+E133/90+M130/20</f>
        <v>0</v>
      </c>
      <c r="Q130" s="13" t="s">
        <v>45</v>
      </c>
      <c r="R130" s="79" t="s">
        <v>46</v>
      </c>
      <c r="S130" s="80" t="e">
        <f>P136</f>
        <v>#REF!</v>
      </c>
      <c r="T130" s="81" t="s">
        <v>47</v>
      </c>
      <c r="U130" s="82" t="s">
        <v>48</v>
      </c>
      <c r="W130" s="26">
        <f>AB131</f>
        <v>0</v>
      </c>
      <c r="X130" s="11" t="s">
        <v>44</v>
      </c>
      <c r="Y130" s="12">
        <f>M130/20+M131/20+G130/16</f>
        <v>0</v>
      </c>
      <c r="Z130" s="13" t="s">
        <v>45</v>
      </c>
      <c r="AA130" s="79" t="s">
        <v>46</v>
      </c>
      <c r="AB130" s="80">
        <f>Y136</f>
        <v>108</v>
      </c>
      <c r="AC130" s="81" t="s">
        <v>47</v>
      </c>
      <c r="AD130" s="82" t="s">
        <v>48</v>
      </c>
    </row>
    <row r="131" spans="1:30" ht="16.149999999999999" customHeight="1" x14ac:dyDescent="0.25">
      <c r="A131" s="215"/>
      <c r="B131" s="103"/>
      <c r="C131" s="55"/>
      <c r="D131" s="48"/>
      <c r="E131" s="49"/>
      <c r="F131" s="41"/>
      <c r="G131" s="43"/>
      <c r="H131" s="44"/>
      <c r="I131" s="45"/>
      <c r="J131" s="41"/>
      <c r="K131" s="43"/>
      <c r="L131" s="56"/>
      <c r="M131" s="45"/>
      <c r="N131" s="46" t="s">
        <v>62</v>
      </c>
      <c r="O131" s="27" t="s">
        <v>55</v>
      </c>
      <c r="P131" s="28" t="e">
        <f>C130/35+E134/35+#REF!/35+#REF!*0.65/35</f>
        <v>#REF!</v>
      </c>
      <c r="Q131" s="29" t="s">
        <v>45</v>
      </c>
      <c r="R131" s="30" t="s">
        <v>56</v>
      </c>
      <c r="S131" s="31" t="e">
        <f>P130*15+P132*5+P133*15+P134*12</f>
        <v>#REF!</v>
      </c>
      <c r="T131" s="29" t="s">
        <v>57</v>
      </c>
      <c r="U131" s="32" t="e">
        <f>S131*4/S130</f>
        <v>#REF!</v>
      </c>
      <c r="W131" s="46" t="s">
        <v>62</v>
      </c>
      <c r="X131" s="27" t="s">
        <v>55</v>
      </c>
      <c r="Y131" s="28">
        <f>C130*0.6/40+E132/50+G134/35+K130/110</f>
        <v>0</v>
      </c>
      <c r="Z131" s="29" t="s">
        <v>45</v>
      </c>
      <c r="AA131" s="30" t="s">
        <v>56</v>
      </c>
      <c r="AB131" s="31">
        <f>Y130*15+Y132*5+Y133*15+Y134*12</f>
        <v>0</v>
      </c>
      <c r="AC131" s="29" t="s">
        <v>57</v>
      </c>
      <c r="AD131" s="32">
        <f>AB131*4/AB130</f>
        <v>0</v>
      </c>
    </row>
    <row r="132" spans="1:30" ht="16.149999999999999" customHeight="1" x14ac:dyDescent="0.25">
      <c r="A132" s="215"/>
      <c r="B132" s="44"/>
      <c r="C132" s="45"/>
      <c r="D132" s="48"/>
      <c r="E132" s="49"/>
      <c r="F132" s="41"/>
      <c r="G132" s="43"/>
      <c r="H132" s="44"/>
      <c r="I132" s="45"/>
      <c r="J132" s="95"/>
      <c r="K132" s="60"/>
      <c r="L132" s="41"/>
      <c r="M132" s="110"/>
      <c r="N132" s="26" t="e">
        <f>S132</f>
        <v>#REF!</v>
      </c>
      <c r="O132" s="47" t="s">
        <v>63</v>
      </c>
      <c r="P132" s="28" t="e">
        <f>(E131+E135+G130+G131+G132+I130+#REF!)/100</f>
        <v>#REF!</v>
      </c>
      <c r="Q132" s="29" t="s">
        <v>45</v>
      </c>
      <c r="R132" s="30" t="s">
        <v>64</v>
      </c>
      <c r="S132" s="31" t="e">
        <f>P131*5+P134*4+P135*5</f>
        <v>#REF!</v>
      </c>
      <c r="T132" s="29" t="s">
        <v>57</v>
      </c>
      <c r="U132" s="32" t="e">
        <f>S132*9/S130</f>
        <v>#REF!</v>
      </c>
      <c r="W132" s="26">
        <f>AB132</f>
        <v>12</v>
      </c>
      <c r="X132" s="47" t="s">
        <v>63</v>
      </c>
      <c r="Y132" s="28">
        <f>(C132+C133+E130+E131+E133+E134+G131+G132+G133+I130+K131+K132+K133)/100</f>
        <v>0</v>
      </c>
      <c r="Z132" s="29" t="s">
        <v>45</v>
      </c>
      <c r="AA132" s="30" t="s">
        <v>64</v>
      </c>
      <c r="AB132" s="31">
        <f>Y131*5+Y134*4+Y135*5</f>
        <v>12</v>
      </c>
      <c r="AC132" s="29" t="s">
        <v>57</v>
      </c>
      <c r="AD132" s="32">
        <f>AB132*9/AB130</f>
        <v>1</v>
      </c>
    </row>
    <row r="133" spans="1:30" ht="16.149999999999999" customHeight="1" x14ac:dyDescent="0.25">
      <c r="A133" s="215"/>
      <c r="B133" s="41"/>
      <c r="C133" s="43"/>
      <c r="D133" s="44"/>
      <c r="E133" s="45"/>
      <c r="F133" s="149"/>
      <c r="G133" s="43"/>
      <c r="H133" s="56"/>
      <c r="I133" s="45"/>
      <c r="J133" s="143"/>
      <c r="K133" s="52"/>
      <c r="L133" s="44"/>
      <c r="M133" s="116"/>
      <c r="N133" s="46" t="s">
        <v>70</v>
      </c>
      <c r="O133" s="57" t="s">
        <v>67</v>
      </c>
      <c r="P133" s="58">
        <v>0</v>
      </c>
      <c r="Q133" s="29" t="s">
        <v>45</v>
      </c>
      <c r="R133" s="30" t="s">
        <v>68</v>
      </c>
      <c r="S133" s="31" t="e">
        <f>P130*2+P131*7+P132*1+P134*8</f>
        <v>#REF!</v>
      </c>
      <c r="T133" s="29" t="s">
        <v>57</v>
      </c>
      <c r="U133" s="32" t="e">
        <f>S133*4/S130</f>
        <v>#REF!</v>
      </c>
      <c r="W133" s="46" t="s">
        <v>70</v>
      </c>
      <c r="X133" s="61" t="s">
        <v>67</v>
      </c>
      <c r="Y133" s="58">
        <v>0</v>
      </c>
      <c r="Z133" s="29" t="s">
        <v>45</v>
      </c>
      <c r="AA133" s="30" t="s">
        <v>68</v>
      </c>
      <c r="AB133" s="31">
        <f>Y130*2+Y131*7+Y132*1+Y134*8</f>
        <v>0</v>
      </c>
      <c r="AC133" s="29" t="s">
        <v>57</v>
      </c>
      <c r="AD133" s="32">
        <f>AB133*4/AB130</f>
        <v>0</v>
      </c>
    </row>
    <row r="134" spans="1:30" ht="16.149999999999999" customHeight="1" x14ac:dyDescent="0.25">
      <c r="A134" s="215" t="s">
        <v>120</v>
      </c>
      <c r="B134" s="130"/>
      <c r="C134" s="20"/>
      <c r="D134" s="56"/>
      <c r="E134" s="45"/>
      <c r="F134" s="53"/>
      <c r="G134" s="157"/>
      <c r="H134" s="56"/>
      <c r="I134" s="45"/>
      <c r="J134" s="53"/>
      <c r="K134" s="45"/>
      <c r="L134" s="44"/>
      <c r="M134" s="116"/>
      <c r="N134" s="26" t="e">
        <f>S133</f>
        <v>#REF!</v>
      </c>
      <c r="O134" s="61" t="s">
        <v>71</v>
      </c>
      <c r="P134" s="58">
        <v>0</v>
      </c>
      <c r="Q134" s="29" t="s">
        <v>45</v>
      </c>
      <c r="R134" s="62"/>
      <c r="S134" s="62"/>
      <c r="T134" s="62"/>
      <c r="U134" s="63" t="e">
        <f>SUM(U131:U133)</f>
        <v>#REF!</v>
      </c>
      <c r="W134" s="26">
        <f>AB133</f>
        <v>0</v>
      </c>
      <c r="X134" s="61" t="s">
        <v>71</v>
      </c>
      <c r="Y134" s="58">
        <v>0</v>
      </c>
      <c r="Z134" s="29" t="s">
        <v>45</v>
      </c>
      <c r="AA134" s="62"/>
      <c r="AB134" s="62"/>
      <c r="AC134" s="62"/>
      <c r="AD134" s="63">
        <f>SUM(AD131:AD133)</f>
        <v>1</v>
      </c>
    </row>
    <row r="135" spans="1:30" ht="16.149999999999999" customHeight="1" x14ac:dyDescent="0.25">
      <c r="A135" s="215"/>
      <c r="B135" s="53"/>
      <c r="C135" s="43"/>
      <c r="D135" s="56"/>
      <c r="E135" s="45"/>
      <c r="F135" s="53"/>
      <c r="G135" s="157"/>
      <c r="H135" s="109"/>
      <c r="I135" s="110"/>
      <c r="J135" s="91"/>
      <c r="K135" s="112"/>
      <c r="L135" s="44"/>
      <c r="M135" s="116"/>
      <c r="N135" s="46" t="s">
        <v>74</v>
      </c>
      <c r="O135" s="65" t="s">
        <v>73</v>
      </c>
      <c r="P135" s="58">
        <v>2.5</v>
      </c>
      <c r="Q135" s="29" t="s">
        <v>45</v>
      </c>
      <c r="R135" s="66"/>
      <c r="S135" s="66"/>
      <c r="T135" s="66"/>
      <c r="U135" s="67"/>
      <c r="W135" s="46" t="s">
        <v>74</v>
      </c>
      <c r="X135" s="65" t="s">
        <v>73</v>
      </c>
      <c r="Y135" s="58">
        <v>2.4</v>
      </c>
      <c r="Z135" s="29" t="s">
        <v>45</v>
      </c>
      <c r="AA135" s="66"/>
      <c r="AB135" s="66"/>
      <c r="AC135" s="66"/>
      <c r="AD135" s="67"/>
    </row>
    <row r="136" spans="1:30" ht="16.149999999999999" customHeight="1" thickBot="1" x14ac:dyDescent="0.3">
      <c r="A136" s="231"/>
      <c r="B136" s="237"/>
      <c r="C136" s="233"/>
      <c r="D136" s="237"/>
      <c r="E136" s="233"/>
      <c r="F136" s="237"/>
      <c r="G136" s="233"/>
      <c r="H136" s="232"/>
      <c r="I136" s="233"/>
      <c r="J136" s="232"/>
      <c r="K136" s="233"/>
      <c r="L136" s="232"/>
      <c r="M136" s="233"/>
      <c r="N136" s="73" t="e">
        <f>P136</f>
        <v>#REF!</v>
      </c>
      <c r="O136" s="68" t="s">
        <v>75</v>
      </c>
      <c r="P136" s="69" t="e">
        <f>P130*68+P131*73+P132*24+P133*60+P134*112+P135*45</f>
        <v>#REF!</v>
      </c>
      <c r="Q136" s="70" t="s">
        <v>47</v>
      </c>
      <c r="R136" s="71"/>
      <c r="S136" s="71"/>
      <c r="T136" s="71"/>
      <c r="U136" s="72"/>
      <c r="W136" s="73">
        <f>Y136</f>
        <v>108</v>
      </c>
      <c r="X136" s="68" t="s">
        <v>75</v>
      </c>
      <c r="Y136" s="69">
        <f>Y130*68+Y131*73+Y132*24+Y133*60+Y134*112+Y135*45</f>
        <v>108</v>
      </c>
      <c r="Z136" s="70" t="s">
        <v>47</v>
      </c>
      <c r="AA136" s="71"/>
      <c r="AB136" s="71"/>
      <c r="AC136" s="71"/>
      <c r="AD136" s="72"/>
    </row>
    <row r="137" spans="1:30" x14ac:dyDescent="0.25">
      <c r="A137" s="243" t="s">
        <v>124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</row>
    <row r="138" spans="1:30" ht="16.149999999999999" customHeight="1" x14ac:dyDescent="0.25">
      <c r="A138" s="245" t="s">
        <v>125</v>
      </c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</row>
    <row r="139" spans="1:30" x14ac:dyDescent="0.25">
      <c r="A139" s="246" t="s">
        <v>126</v>
      </c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</row>
    <row r="140" spans="1:30" ht="16.149999999999999" customHeight="1" x14ac:dyDescent="0.25">
      <c r="A140" s="247" t="s">
        <v>127</v>
      </c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</row>
    <row r="141" spans="1:30" x14ac:dyDescent="0.25">
      <c r="A141" s="248" t="s">
        <v>128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</row>
  </sheetData>
  <mergeCells count="289">
    <mergeCell ref="A141:N141"/>
    <mergeCell ref="J136:K136"/>
    <mergeCell ref="L136:M136"/>
    <mergeCell ref="A137:M137"/>
    <mergeCell ref="A138:N138"/>
    <mergeCell ref="A139:N139"/>
    <mergeCell ref="A140:N140"/>
    <mergeCell ref="L129:M129"/>
    <mergeCell ref="O129:Q129"/>
    <mergeCell ref="R129:U129"/>
    <mergeCell ref="X129:Z129"/>
    <mergeCell ref="AA129:AD129"/>
    <mergeCell ref="A134:A136"/>
    <mergeCell ref="B136:C136"/>
    <mergeCell ref="D136:E136"/>
    <mergeCell ref="F136:G136"/>
    <mergeCell ref="H136:I136"/>
    <mergeCell ref="A129:A133"/>
    <mergeCell ref="B129:C129"/>
    <mergeCell ref="D129:E129"/>
    <mergeCell ref="F129:G129"/>
    <mergeCell ref="H129:I129"/>
    <mergeCell ref="J129:K129"/>
    <mergeCell ref="X121:Z121"/>
    <mergeCell ref="AA121:AD121"/>
    <mergeCell ref="A126:A128"/>
    <mergeCell ref="B128:C128"/>
    <mergeCell ref="D128:E128"/>
    <mergeCell ref="F128:G128"/>
    <mergeCell ref="H128:I128"/>
    <mergeCell ref="J128:K128"/>
    <mergeCell ref="L128:M128"/>
    <mergeCell ref="A121:A125"/>
    <mergeCell ref="B121:C121"/>
    <mergeCell ref="D121:E121"/>
    <mergeCell ref="F121:G121"/>
    <mergeCell ref="H121:I121"/>
    <mergeCell ref="J121:K121"/>
    <mergeCell ref="L121:M121"/>
    <mergeCell ref="O121:Q121"/>
    <mergeCell ref="R121:U121"/>
    <mergeCell ref="X113:Z113"/>
    <mergeCell ref="AA113:AD113"/>
    <mergeCell ref="A118:A120"/>
    <mergeCell ref="B120:C120"/>
    <mergeCell ref="D120:E120"/>
    <mergeCell ref="F120:G120"/>
    <mergeCell ref="H120:I120"/>
    <mergeCell ref="J120:K120"/>
    <mergeCell ref="L120:M120"/>
    <mergeCell ref="A113:A117"/>
    <mergeCell ref="B113:C113"/>
    <mergeCell ref="D113:E113"/>
    <mergeCell ref="F113:G113"/>
    <mergeCell ref="H113:I113"/>
    <mergeCell ref="J113:K113"/>
    <mergeCell ref="L113:M113"/>
    <mergeCell ref="O113:Q113"/>
    <mergeCell ref="R113:U113"/>
    <mergeCell ref="A105:A109"/>
    <mergeCell ref="B105:C105"/>
    <mergeCell ref="D105:E105"/>
    <mergeCell ref="F105:G105"/>
    <mergeCell ref="H105:I105"/>
    <mergeCell ref="H112:I112"/>
    <mergeCell ref="J112:K112"/>
    <mergeCell ref="L112:M112"/>
    <mergeCell ref="A110:A112"/>
    <mergeCell ref="B112:C112"/>
    <mergeCell ref="D112:E112"/>
    <mergeCell ref="F112:G112"/>
    <mergeCell ref="J105:K105"/>
    <mergeCell ref="L105:M105"/>
    <mergeCell ref="H104:I104"/>
    <mergeCell ref="O96:U96"/>
    <mergeCell ref="X96:AD96"/>
    <mergeCell ref="A97:A101"/>
    <mergeCell ref="B97:C97"/>
    <mergeCell ref="D97:E97"/>
    <mergeCell ref="F97:G97"/>
    <mergeCell ref="H97:I97"/>
    <mergeCell ref="J97:K97"/>
    <mergeCell ref="L97:M97"/>
    <mergeCell ref="X97:Z97"/>
    <mergeCell ref="AA97:AD97"/>
    <mergeCell ref="J104:K104"/>
    <mergeCell ref="L104:M104"/>
    <mergeCell ref="O105:Q105"/>
    <mergeCell ref="R105:U105"/>
    <mergeCell ref="X105:Z105"/>
    <mergeCell ref="AA105:AD105"/>
    <mergeCell ref="A102:A104"/>
    <mergeCell ref="B104:C104"/>
    <mergeCell ref="D104:E104"/>
    <mergeCell ref="F104:G104"/>
    <mergeCell ref="R82:U82"/>
    <mergeCell ref="X82:Z82"/>
    <mergeCell ref="A95:M95"/>
    <mergeCell ref="A87:A89"/>
    <mergeCell ref="B89:C89"/>
    <mergeCell ref="D89:E89"/>
    <mergeCell ref="F89:G89"/>
    <mergeCell ref="H89:I89"/>
    <mergeCell ref="J89:K89"/>
    <mergeCell ref="J82:K82"/>
    <mergeCell ref="L82:M82"/>
    <mergeCell ref="L89:M89"/>
    <mergeCell ref="A90:M90"/>
    <mergeCell ref="A91:N91"/>
    <mergeCell ref="A92:N92"/>
    <mergeCell ref="A93:N93"/>
    <mergeCell ref="A94:N94"/>
    <mergeCell ref="O82:Q82"/>
    <mergeCell ref="X74:Z74"/>
    <mergeCell ref="AA74:AD74"/>
    <mergeCell ref="A79:A81"/>
    <mergeCell ref="B81:C81"/>
    <mergeCell ref="D81:E81"/>
    <mergeCell ref="F81:G81"/>
    <mergeCell ref="H81:I81"/>
    <mergeCell ref="J81:K81"/>
    <mergeCell ref="AA82:AD82"/>
    <mergeCell ref="A74:A78"/>
    <mergeCell ref="B74:C74"/>
    <mergeCell ref="D74:E74"/>
    <mergeCell ref="F74:G74"/>
    <mergeCell ref="H74:I74"/>
    <mergeCell ref="J74:K74"/>
    <mergeCell ref="L74:M74"/>
    <mergeCell ref="O74:Q74"/>
    <mergeCell ref="R74:U74"/>
    <mergeCell ref="L81:M81"/>
    <mergeCell ref="A82:A86"/>
    <mergeCell ref="B82:C82"/>
    <mergeCell ref="D82:E82"/>
    <mergeCell ref="F82:G82"/>
    <mergeCell ref="H82:I82"/>
    <mergeCell ref="AA66:AD66"/>
    <mergeCell ref="A71:A73"/>
    <mergeCell ref="B73:C73"/>
    <mergeCell ref="D73:E73"/>
    <mergeCell ref="F73:G73"/>
    <mergeCell ref="H73:I73"/>
    <mergeCell ref="J73:K73"/>
    <mergeCell ref="L73:M73"/>
    <mergeCell ref="O66:Q66"/>
    <mergeCell ref="R66:U66"/>
    <mergeCell ref="X66:Z66"/>
    <mergeCell ref="L65:M65"/>
    <mergeCell ref="A66:A70"/>
    <mergeCell ref="B66:C66"/>
    <mergeCell ref="D66:E66"/>
    <mergeCell ref="F66:G66"/>
    <mergeCell ref="H66:I66"/>
    <mergeCell ref="J66:K66"/>
    <mergeCell ref="L66:M66"/>
    <mergeCell ref="A63:A65"/>
    <mergeCell ref="B65:C65"/>
    <mergeCell ref="D65:E65"/>
    <mergeCell ref="F65:G65"/>
    <mergeCell ref="H65:I65"/>
    <mergeCell ref="J65:K65"/>
    <mergeCell ref="L57:M57"/>
    <mergeCell ref="O58:Q58"/>
    <mergeCell ref="R58:U58"/>
    <mergeCell ref="X58:Z58"/>
    <mergeCell ref="AA58:AD58"/>
    <mergeCell ref="A55:A57"/>
    <mergeCell ref="B57:C57"/>
    <mergeCell ref="D57:E57"/>
    <mergeCell ref="F57:G57"/>
    <mergeCell ref="J57:K57"/>
    <mergeCell ref="A58:A62"/>
    <mergeCell ref="B58:C58"/>
    <mergeCell ref="D58:E58"/>
    <mergeCell ref="F58:G58"/>
    <mergeCell ref="H58:I58"/>
    <mergeCell ref="J58:K58"/>
    <mergeCell ref="L58:M58"/>
    <mergeCell ref="H57:I57"/>
    <mergeCell ref="A48:M48"/>
    <mergeCell ref="O49:U49"/>
    <mergeCell ref="X49:AD49"/>
    <mergeCell ref="A50:A54"/>
    <mergeCell ref="B50:C50"/>
    <mergeCell ref="D50:E50"/>
    <mergeCell ref="F50:G50"/>
    <mergeCell ref="J50:K50"/>
    <mergeCell ref="L50:M50"/>
    <mergeCell ref="H50:I50"/>
    <mergeCell ref="X50:Z50"/>
    <mergeCell ref="AA50:AD50"/>
    <mergeCell ref="H53:I53"/>
    <mergeCell ref="L42:M42"/>
    <mergeCell ref="A43:M43"/>
    <mergeCell ref="A44:N44"/>
    <mergeCell ref="A45:N45"/>
    <mergeCell ref="A46:N46"/>
    <mergeCell ref="A47:N47"/>
    <mergeCell ref="A40:A42"/>
    <mergeCell ref="B42:C42"/>
    <mergeCell ref="D42:E42"/>
    <mergeCell ref="F42:G42"/>
    <mergeCell ref="H42:I42"/>
    <mergeCell ref="J42:K42"/>
    <mergeCell ref="L35:M35"/>
    <mergeCell ref="O35:Q35"/>
    <mergeCell ref="R35:U35"/>
    <mergeCell ref="X35:Z35"/>
    <mergeCell ref="AA35:AD35"/>
    <mergeCell ref="A35:A39"/>
    <mergeCell ref="B35:C35"/>
    <mergeCell ref="D35:E35"/>
    <mergeCell ref="F35:G35"/>
    <mergeCell ref="H35:I35"/>
    <mergeCell ref="J35:K35"/>
    <mergeCell ref="A32:A34"/>
    <mergeCell ref="B34:C34"/>
    <mergeCell ref="D34:E34"/>
    <mergeCell ref="F34:G34"/>
    <mergeCell ref="H34:I34"/>
    <mergeCell ref="J34:K34"/>
    <mergeCell ref="L34:M34"/>
    <mergeCell ref="L27:M27"/>
    <mergeCell ref="O27:Q27"/>
    <mergeCell ref="R27:U27"/>
    <mergeCell ref="X27:Z27"/>
    <mergeCell ref="AA27:AD27"/>
    <mergeCell ref="A27:A31"/>
    <mergeCell ref="B27:C27"/>
    <mergeCell ref="D27:E27"/>
    <mergeCell ref="F27:G27"/>
    <mergeCell ref="H27:I27"/>
    <mergeCell ref="J27:K27"/>
    <mergeCell ref="A24:A26"/>
    <mergeCell ref="B26:C26"/>
    <mergeCell ref="D26:E26"/>
    <mergeCell ref="F26:G26"/>
    <mergeCell ref="H26:I26"/>
    <mergeCell ref="J26:K26"/>
    <mergeCell ref="L26:M26"/>
    <mergeCell ref="L19:M19"/>
    <mergeCell ref="O19:Q19"/>
    <mergeCell ref="R19:U19"/>
    <mergeCell ref="X19:Z19"/>
    <mergeCell ref="AA19:AD19"/>
    <mergeCell ref="A19:A23"/>
    <mergeCell ref="B19:C19"/>
    <mergeCell ref="D19:E19"/>
    <mergeCell ref="F19:G19"/>
    <mergeCell ref="H19:I19"/>
    <mergeCell ref="J19:K19"/>
    <mergeCell ref="X11:Z11"/>
    <mergeCell ref="AA11:AD11"/>
    <mergeCell ref="A16:A18"/>
    <mergeCell ref="B18:C18"/>
    <mergeCell ref="D18:E18"/>
    <mergeCell ref="F18:G18"/>
    <mergeCell ref="H18:I18"/>
    <mergeCell ref="J18:K18"/>
    <mergeCell ref="L18:M18"/>
    <mergeCell ref="A11:A15"/>
    <mergeCell ref="B11:C11"/>
    <mergeCell ref="D11:E11"/>
    <mergeCell ref="F11:G11"/>
    <mergeCell ref="H11:I11"/>
    <mergeCell ref="J11:K11"/>
    <mergeCell ref="L11:M11"/>
    <mergeCell ref="O11:Q11"/>
    <mergeCell ref="R11:U11"/>
    <mergeCell ref="A8:A10"/>
    <mergeCell ref="B10:C10"/>
    <mergeCell ref="D10:E10"/>
    <mergeCell ref="F10:G10"/>
    <mergeCell ref="H10:I10"/>
    <mergeCell ref="J10:K10"/>
    <mergeCell ref="L10:M10"/>
    <mergeCell ref="A1:M1"/>
    <mergeCell ref="O2:U2"/>
    <mergeCell ref="X2:AD2"/>
    <mergeCell ref="A3:A7"/>
    <mergeCell ref="B3:C3"/>
    <mergeCell ref="D3:E3"/>
    <mergeCell ref="F3:G3"/>
    <mergeCell ref="H3:I3"/>
    <mergeCell ref="J3:K3"/>
    <mergeCell ref="L3:M3"/>
    <mergeCell ref="X3:Z3"/>
    <mergeCell ref="AA3:AD3"/>
  </mergeCells>
  <phoneticPr fontId="3" type="noConversion"/>
  <printOptions horizontalCentered="1"/>
  <pageMargins left="0" right="0" top="0.15748031496062992" bottom="0.15748031496062992" header="0.43307086614173229" footer="0.15748031496062992"/>
  <pageSetup paperSize="9" scale="105" orientation="portrait" r:id="rId1"/>
  <headerFooter alignWithMargins="0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7月菜單(貝佳) (國高中)蔬食</vt:lpstr>
      <vt:lpstr>7月明細(午餐)</vt:lpstr>
      <vt:lpstr>'7月明細(午餐)'!Print_Area</vt:lpstr>
      <vt:lpstr>'7月菜單(貝佳) (國高中)蔬食'!Print_Area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2020-06-08T04:58:05Z</cp:lastPrinted>
  <dcterms:created xsi:type="dcterms:W3CDTF">2020-06-02T02:35:42Z</dcterms:created>
  <dcterms:modified xsi:type="dcterms:W3CDTF">2020-06-16T07:13:08Z</dcterms:modified>
</cp:coreProperties>
</file>