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1375" windowHeight="9690" activeTab="1"/>
  </bookViews>
  <sheets>
    <sheet name="7月晚餐" sheetId="1" r:id="rId1"/>
    <sheet name="7月明細(晚餐) " sheetId="2" r:id="rId2"/>
  </sheets>
  <definedNames>
    <definedName name="_xlnm.Print_Area" localSheetId="1">'7月明細(晚餐) '!$A$1:$W$125</definedName>
    <definedName name="_xlnm.Print_Area" localSheetId="0">'7月晚餐'!$A$1:$I$37</definedName>
  </definedNames>
  <calcPr calcId="145621"/>
</workbook>
</file>

<file path=xl/calcChain.xml><?xml version="1.0" encoding="utf-8"?>
<calcChain xmlns="http://schemas.openxmlformats.org/spreadsheetml/2006/main">
  <c r="D36" i="1" l="1"/>
  <c r="B36" i="1"/>
  <c r="H25" i="1"/>
  <c r="F25" i="1"/>
  <c r="D25" i="1"/>
  <c r="B25" i="1"/>
  <c r="H12" i="1"/>
  <c r="F12" i="1"/>
  <c r="Y84" i="2" l="1"/>
  <c r="Y83" i="2"/>
  <c r="Y82" i="2"/>
  <c r="Y69" i="2"/>
  <c r="Y68" i="2"/>
  <c r="Y67" i="2"/>
  <c r="Y60" i="2"/>
  <c r="Y61" i="2"/>
  <c r="Y59" i="2"/>
  <c r="Y53" i="2" l="1"/>
  <c r="Y52" i="2"/>
  <c r="Y51" i="2"/>
  <c r="Y45" i="2"/>
  <c r="Y43" i="2"/>
  <c r="Y44" i="2"/>
  <c r="AB45" i="2" s="1"/>
  <c r="W45" i="2" s="1"/>
  <c r="Y22" i="2"/>
  <c r="Y21" i="2"/>
  <c r="AB22" i="2" s="1"/>
  <c r="W22" i="2" s="1"/>
  <c r="Y20" i="2"/>
  <c r="Y116" i="2"/>
  <c r="AB115" i="2" s="1"/>
  <c r="P116" i="2"/>
  <c r="Y115" i="2"/>
  <c r="Y120" i="2" s="1"/>
  <c r="P115" i="2"/>
  <c r="S116" i="2" s="1"/>
  <c r="Y114" i="2"/>
  <c r="P114" i="2"/>
  <c r="S115" i="2" s="1"/>
  <c r="Y112" i="2"/>
  <c r="AB109" i="2"/>
  <c r="W110" i="2" s="1"/>
  <c r="AB108" i="2"/>
  <c r="W108" i="2" s="1"/>
  <c r="Y108" i="2"/>
  <c r="P108" i="2"/>
  <c r="AB107" i="2"/>
  <c r="Y107" i="2"/>
  <c r="S107" i="2"/>
  <c r="P107" i="2"/>
  <c r="S108" i="2" s="1"/>
  <c r="N108" i="2" s="1"/>
  <c r="Y106" i="2"/>
  <c r="W106" i="2"/>
  <c r="P106" i="2"/>
  <c r="S109" i="2" s="1"/>
  <c r="N104" i="2"/>
  <c r="N102" i="2"/>
  <c r="S101" i="2"/>
  <c r="Y100" i="2"/>
  <c r="W100" i="2"/>
  <c r="P100" i="2"/>
  <c r="Y99" i="2"/>
  <c r="AB100" i="2" s="1"/>
  <c r="P99" i="2"/>
  <c r="S100" i="2" s="1"/>
  <c r="U100" i="2" s="1"/>
  <c r="Y98" i="2"/>
  <c r="P98" i="2"/>
  <c r="P104" i="2" s="1"/>
  <c r="S98" i="2" s="1"/>
  <c r="Y92" i="2"/>
  <c r="AB91" i="2" s="1"/>
  <c r="P92" i="2"/>
  <c r="Y91" i="2"/>
  <c r="P91" i="2"/>
  <c r="S92" i="2" s="1"/>
  <c r="Y90" i="2"/>
  <c r="P90" i="2"/>
  <c r="AB84" i="2"/>
  <c r="W84" i="2" s="1"/>
  <c r="P83" i="2"/>
  <c r="AB83" i="2"/>
  <c r="W82" i="2"/>
  <c r="P82" i="2"/>
  <c r="S83" i="2" s="1"/>
  <c r="P81" i="2"/>
  <c r="Y73" i="2"/>
  <c r="AB67" i="2" s="1"/>
  <c r="AB69" i="2"/>
  <c r="W69" i="2" s="1"/>
  <c r="P69" i="2"/>
  <c r="S70" i="2" s="1"/>
  <c r="N71" i="2" s="1"/>
  <c r="S68" i="2"/>
  <c r="P68" i="2"/>
  <c r="S69" i="2" s="1"/>
  <c r="AB68" i="2"/>
  <c r="P67" i="2"/>
  <c r="P73" i="2" s="1"/>
  <c r="N73" i="2" s="1"/>
  <c r="A66" i="2"/>
  <c r="A81" i="2" s="1"/>
  <c r="A89" i="2" s="1"/>
  <c r="A97" i="2" s="1"/>
  <c r="A105" i="2" s="1"/>
  <c r="A113" i="2" s="1"/>
  <c r="P61" i="2"/>
  <c r="AB61" i="2"/>
  <c r="P60" i="2"/>
  <c r="S61" i="2" s="1"/>
  <c r="N61" i="2" s="1"/>
  <c r="P59" i="2"/>
  <c r="A58" i="2"/>
  <c r="AB53" i="2"/>
  <c r="W53" i="2" s="1"/>
  <c r="P53" i="2"/>
  <c r="P52" i="2"/>
  <c r="S53" i="2" s="1"/>
  <c r="AB52" i="2"/>
  <c r="P51" i="2"/>
  <c r="S52" i="2" s="1"/>
  <c r="N51" i="2" s="1"/>
  <c r="A50" i="2"/>
  <c r="N49" i="2"/>
  <c r="P48" i="2"/>
  <c r="N47" i="2"/>
  <c r="S45" i="2"/>
  <c r="S44" i="2"/>
  <c r="N45" i="2" s="1"/>
  <c r="S43" i="2"/>
  <c r="N43" i="2" s="1"/>
  <c r="S42" i="2"/>
  <c r="U45" i="2" s="1"/>
  <c r="AB30" i="2"/>
  <c r="Y30" i="2"/>
  <c r="P30" i="2"/>
  <c r="Y29" i="2"/>
  <c r="S29" i="2"/>
  <c r="P29" i="2"/>
  <c r="S30" i="2" s="1"/>
  <c r="Y28" i="2"/>
  <c r="AB31" i="2" s="1"/>
  <c r="P28" i="2"/>
  <c r="N28" i="2"/>
  <c r="P22" i="2"/>
  <c r="P21" i="2"/>
  <c r="S22" i="2" s="1"/>
  <c r="N22" i="2" s="1"/>
  <c r="P20" i="2"/>
  <c r="S21" i="2" s="1"/>
  <c r="N20" i="2" s="1"/>
  <c r="A19" i="2"/>
  <c r="A27" i="2" s="1"/>
  <c r="S15" i="2"/>
  <c r="N16" i="2" s="1"/>
  <c r="Y14" i="2"/>
  <c r="S14" i="2"/>
  <c r="P14" i="2"/>
  <c r="Y13" i="2"/>
  <c r="AB14" i="2" s="1"/>
  <c r="P13" i="2"/>
  <c r="Y12" i="2"/>
  <c r="AB15" i="2" s="1"/>
  <c r="P12" i="2"/>
  <c r="S13" i="2" s="1"/>
  <c r="N12" i="2"/>
  <c r="A11" i="2"/>
  <c r="Y6" i="2"/>
  <c r="Y5" i="2"/>
  <c r="AB6" i="2" s="1"/>
  <c r="W6" i="2" s="1"/>
  <c r="P5" i="2"/>
  <c r="Y4" i="2"/>
  <c r="Y10" i="2" s="1"/>
  <c r="P4" i="2"/>
  <c r="S5" i="2" s="1"/>
  <c r="P3" i="2"/>
  <c r="AD69" i="2" l="1"/>
  <c r="W73" i="2"/>
  <c r="S67" i="2"/>
  <c r="U68" i="2" s="1"/>
  <c r="P65" i="2"/>
  <c r="S59" i="2" s="1"/>
  <c r="U61" i="2" s="1"/>
  <c r="S62" i="2"/>
  <c r="N63" i="2" s="1"/>
  <c r="AB54" i="2"/>
  <c r="Y49" i="2"/>
  <c r="AB43" i="2" s="1"/>
  <c r="AD45" i="2" s="1"/>
  <c r="AB46" i="2"/>
  <c r="W47" i="2" s="1"/>
  <c r="AB44" i="2"/>
  <c r="W43" i="2" s="1"/>
  <c r="S23" i="2"/>
  <c r="N6" i="2"/>
  <c r="W16" i="2"/>
  <c r="N53" i="2"/>
  <c r="AD68" i="2"/>
  <c r="W67" i="2"/>
  <c r="AB4" i="2"/>
  <c r="W10" i="2"/>
  <c r="N69" i="2"/>
  <c r="U69" i="2"/>
  <c r="W14" i="2"/>
  <c r="N24" i="2"/>
  <c r="W32" i="2"/>
  <c r="N84" i="2"/>
  <c r="W90" i="2"/>
  <c r="N30" i="2"/>
  <c r="W51" i="2"/>
  <c r="W55" i="2"/>
  <c r="N92" i="2"/>
  <c r="S93" i="2"/>
  <c r="S91" i="2"/>
  <c r="W120" i="2"/>
  <c r="AB114" i="2"/>
  <c r="AB5" i="2"/>
  <c r="AB7" i="2"/>
  <c r="AB13" i="2"/>
  <c r="AB23" i="2"/>
  <c r="AB21" i="2"/>
  <c r="P26" i="2"/>
  <c r="P34" i="2"/>
  <c r="AB29" i="2"/>
  <c r="W61" i="2"/>
  <c r="P9" i="2"/>
  <c r="Y26" i="2"/>
  <c r="S54" i="2"/>
  <c r="S60" i="2"/>
  <c r="N67" i="2"/>
  <c r="AB70" i="2"/>
  <c r="Y96" i="2"/>
  <c r="AD115" i="2"/>
  <c r="W114" i="2"/>
  <c r="AD6" i="2"/>
  <c r="P18" i="2"/>
  <c r="W30" i="2"/>
  <c r="S31" i="2"/>
  <c r="Y34" i="2"/>
  <c r="U44" i="2"/>
  <c r="AB62" i="2"/>
  <c r="AB60" i="2"/>
  <c r="P87" i="2"/>
  <c r="AB85" i="2"/>
  <c r="Y88" i="2"/>
  <c r="Y104" i="2"/>
  <c r="AB101" i="2"/>
  <c r="AB99" i="2"/>
  <c r="N100" i="2"/>
  <c r="U101" i="2"/>
  <c r="N110" i="2"/>
  <c r="N106" i="2"/>
  <c r="W112" i="2"/>
  <c r="AB106" i="2"/>
  <c r="N116" i="2"/>
  <c r="Y18" i="2"/>
  <c r="Y65" i="2"/>
  <c r="P96" i="2"/>
  <c r="N114" i="2"/>
  <c r="P57" i="2"/>
  <c r="AB93" i="2"/>
  <c r="AB92" i="2"/>
  <c r="N14" i="2"/>
  <c r="U43" i="2"/>
  <c r="U46" i="2" s="1"/>
  <c r="Y57" i="2"/>
  <c r="S4" i="2"/>
  <c r="S6" i="2"/>
  <c r="S82" i="2"/>
  <c r="S84" i="2"/>
  <c r="P112" i="2"/>
  <c r="S117" i="2"/>
  <c r="S99" i="2"/>
  <c r="P120" i="2"/>
  <c r="AB116" i="2"/>
  <c r="AB117" i="2"/>
  <c r="U70" i="2" l="1"/>
  <c r="U71" i="2" s="1"/>
  <c r="N65" i="2"/>
  <c r="U62" i="2"/>
  <c r="W49" i="2"/>
  <c r="AD46" i="2"/>
  <c r="AD44" i="2"/>
  <c r="AD47" i="2" s="1"/>
  <c r="N98" i="2"/>
  <c r="U99" i="2"/>
  <c r="U102" i="2" s="1"/>
  <c r="S51" i="2"/>
  <c r="N57" i="2"/>
  <c r="AB82" i="2"/>
  <c r="AD85" i="2" s="1"/>
  <c r="W88" i="2"/>
  <c r="W59" i="2"/>
  <c r="W71" i="2"/>
  <c r="AD70" i="2"/>
  <c r="AD71" i="2" s="1"/>
  <c r="W20" i="2"/>
  <c r="AD7" i="2"/>
  <c r="W8" i="2"/>
  <c r="AD117" i="2"/>
  <c r="W118" i="2"/>
  <c r="N8" i="2"/>
  <c r="U6" i="2"/>
  <c r="AD108" i="2"/>
  <c r="AD107" i="2"/>
  <c r="AD109" i="2"/>
  <c r="W86" i="2"/>
  <c r="S28" i="2"/>
  <c r="U31" i="2" s="1"/>
  <c r="N34" i="2"/>
  <c r="N94" i="2"/>
  <c r="AD116" i="2"/>
  <c r="AD118" i="2" s="1"/>
  <c r="W116" i="2"/>
  <c r="N112" i="2"/>
  <c r="S106" i="2"/>
  <c r="W92" i="2"/>
  <c r="AD92" i="2"/>
  <c r="AB12" i="2"/>
  <c r="W18" i="2"/>
  <c r="AD101" i="2"/>
  <c r="W102" i="2"/>
  <c r="N120" i="2"/>
  <c r="S114" i="2"/>
  <c r="N86" i="2"/>
  <c r="AB51" i="2"/>
  <c r="W57" i="2"/>
  <c r="W94" i="2"/>
  <c r="W104" i="2"/>
  <c r="AB98" i="2"/>
  <c r="AD100" i="2" s="1"/>
  <c r="AB28" i="2"/>
  <c r="W34" i="2"/>
  <c r="W96" i="2"/>
  <c r="AB90" i="2"/>
  <c r="AD91" i="2" s="1"/>
  <c r="N55" i="2"/>
  <c r="N10" i="2"/>
  <c r="S3" i="2"/>
  <c r="U5" i="2" s="1"/>
  <c r="AD13" i="2"/>
  <c r="W12" i="2"/>
  <c r="N82" i="2"/>
  <c r="N96" i="2"/>
  <c r="S90" i="2"/>
  <c r="U92" i="2" s="1"/>
  <c r="N32" i="2"/>
  <c r="W28" i="2"/>
  <c r="AD29" i="2"/>
  <c r="N90" i="2"/>
  <c r="U117" i="2"/>
  <c r="N118" i="2"/>
  <c r="W65" i="2"/>
  <c r="AB59" i="2"/>
  <c r="AD61" i="2" s="1"/>
  <c r="AD99" i="2"/>
  <c r="AD102" i="2" s="1"/>
  <c r="W98" i="2"/>
  <c r="W63" i="2"/>
  <c r="AD62" i="2"/>
  <c r="W24" i="2"/>
  <c r="W4" i="2"/>
  <c r="AD5" i="2"/>
  <c r="AD8" i="2" s="1"/>
  <c r="U4" i="2"/>
  <c r="U7" i="2" s="1"/>
  <c r="N4" i="2"/>
  <c r="N88" i="2"/>
  <c r="S81" i="2"/>
  <c r="U83" i="2" s="1"/>
  <c r="N18" i="2"/>
  <c r="S12" i="2"/>
  <c r="N59" i="2"/>
  <c r="U60" i="2"/>
  <c r="U63" i="2" s="1"/>
  <c r="W26" i="2"/>
  <c r="AB20" i="2"/>
  <c r="AD22" i="2" s="1"/>
  <c r="S20" i="2"/>
  <c r="N26" i="2"/>
  <c r="AD93" i="2" l="1"/>
  <c r="AD94" i="2" s="1"/>
  <c r="U84" i="2"/>
  <c r="AD60" i="2"/>
  <c r="AD63" i="2" s="1"/>
  <c r="AD21" i="2"/>
  <c r="U53" i="2"/>
  <c r="U52" i="2"/>
  <c r="U15" i="2"/>
  <c r="U14" i="2"/>
  <c r="U13" i="2"/>
  <c r="U16" i="2" s="1"/>
  <c r="AD23" i="2"/>
  <c r="U91" i="2"/>
  <c r="U94" i="2" s="1"/>
  <c r="U82" i="2"/>
  <c r="AD54" i="2"/>
  <c r="AD52" i="2"/>
  <c r="AD53" i="2"/>
  <c r="AD14" i="2"/>
  <c r="AD16" i="2" s="1"/>
  <c r="AD15" i="2"/>
  <c r="U93" i="2"/>
  <c r="AD110" i="2"/>
  <c r="AD32" i="2"/>
  <c r="U54" i="2"/>
  <c r="AD30" i="2"/>
  <c r="AD31" i="2"/>
  <c r="U22" i="2"/>
  <c r="U23" i="2"/>
  <c r="U21" i="2"/>
  <c r="U24" i="2" s="1"/>
  <c r="U115" i="2"/>
  <c r="U118" i="2" s="1"/>
  <c r="U116" i="2"/>
  <c r="U108" i="2"/>
  <c r="U107" i="2"/>
  <c r="U109" i="2"/>
  <c r="U29" i="2"/>
  <c r="U32" i="2" s="1"/>
  <c r="U30" i="2"/>
  <c r="AD83" i="2"/>
  <c r="AD84" i="2"/>
  <c r="U85" i="2" l="1"/>
  <c r="AD24" i="2"/>
  <c r="AD55" i="2"/>
  <c r="U55" i="2"/>
  <c r="AD86" i="2"/>
  <c r="U110" i="2"/>
  <c r="D2" i="1" l="1"/>
  <c r="F2" i="1" s="1"/>
  <c r="H2" i="1" s="1"/>
  <c r="B13" i="1" l="1"/>
  <c r="H13" i="1" l="1"/>
  <c r="F13" i="1"/>
  <c r="B26" i="1"/>
  <c r="D13" i="1"/>
  <c r="F26" i="1" l="1"/>
  <c r="D26" i="1"/>
  <c r="H26" i="1"/>
</calcChain>
</file>

<file path=xl/sharedStrings.xml><?xml version="1.0" encoding="utf-8"?>
<sst xmlns="http://schemas.openxmlformats.org/spreadsheetml/2006/main" count="1119" uniqueCount="241">
  <si>
    <t>熱量(kcal)</t>
    <phoneticPr fontId="2" type="noConversion"/>
  </si>
  <si>
    <t>有任何問題，請找貝佳服務人員</t>
    <phoneticPr fontId="2" type="noConversion"/>
  </si>
  <si>
    <t>香Q白飯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</si>
  <si>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</si>
  <si>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</si>
  <si>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</si>
  <si>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</si>
  <si>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r>
      <t>香Q白飯</t>
    </r>
    <r>
      <rPr>
        <sz val="18"/>
        <color rgb="FFFF00FF"/>
        <rFont val="華康娃娃體(P)"/>
        <family val="5"/>
        <charset val="136"/>
      </rPr>
      <t>+水果</t>
    </r>
    <phoneticPr fontId="2" type="noConversion"/>
  </si>
  <si>
    <t>健康蔬菜</t>
    <phoneticPr fontId="2" type="noConversion"/>
  </si>
  <si>
    <t>田園青菜</t>
    <phoneticPr fontId="2" type="noConversion"/>
  </si>
  <si>
    <t>高纖蔬菜</t>
    <phoneticPr fontId="2" type="noConversion"/>
  </si>
  <si>
    <t>陽光青菜</t>
    <phoneticPr fontId="2" type="noConversion"/>
  </si>
  <si>
    <t>第19週</t>
    <phoneticPr fontId="2" type="noConversion"/>
  </si>
  <si>
    <t>第20週</t>
    <phoneticPr fontId="2" type="noConversion"/>
  </si>
  <si>
    <t>第21週</t>
    <phoneticPr fontId="2" type="noConversion"/>
  </si>
  <si>
    <t>鬱金香炒飯</t>
    <phoneticPr fontId="2" type="noConversion"/>
  </si>
  <si>
    <t>水果蛋糕捲</t>
    <phoneticPr fontId="2" type="noConversion"/>
  </si>
  <si>
    <t>冬瓜山粉圓</t>
    <phoneticPr fontId="2" type="noConversion"/>
  </si>
  <si>
    <t>在地人炒麵</t>
    <phoneticPr fontId="2" type="noConversion"/>
  </si>
  <si>
    <t>三杯雞丁</t>
    <phoneticPr fontId="2" type="noConversion"/>
  </si>
  <si>
    <t>港式雙拼</t>
    <phoneticPr fontId="2" type="noConversion"/>
  </si>
  <si>
    <t>芋香西米露</t>
    <phoneticPr fontId="2" type="noConversion"/>
  </si>
  <si>
    <t>小瓜炒豚片</t>
    <phoneticPr fontId="2" type="noConversion"/>
  </si>
  <si>
    <t>佛跳牆</t>
    <phoneticPr fontId="2" type="noConversion"/>
  </si>
  <si>
    <t>蒙古高麗菜</t>
    <phoneticPr fontId="2" type="noConversion"/>
  </si>
  <si>
    <t>菜脯蔥炒蛋</t>
    <phoneticPr fontId="2" type="noConversion"/>
  </si>
  <si>
    <t>(燒賣x1、水餃x1)</t>
    <phoneticPr fontId="2" type="noConversion"/>
  </si>
  <si>
    <t>榨菜肉絲湯</t>
    <phoneticPr fontId="2" type="noConversion"/>
  </si>
  <si>
    <t>青木瓜排骨湯</t>
    <phoneticPr fontId="2" type="noConversion"/>
  </si>
  <si>
    <t>筍片雞湯</t>
    <phoneticPr fontId="2" type="noConversion"/>
  </si>
  <si>
    <t>冬瓜排骨湯</t>
    <phoneticPr fontId="2" type="noConversion"/>
  </si>
  <si>
    <t>翡翠丸子湯</t>
    <phoneticPr fontId="2" type="noConversion"/>
  </si>
  <si>
    <t>玉米濃湯</t>
    <phoneticPr fontId="2" type="noConversion"/>
  </si>
  <si>
    <t>花生米血糕</t>
    <phoneticPr fontId="2" type="noConversion"/>
  </si>
  <si>
    <t>酥炸雞翅</t>
    <phoneticPr fontId="2" type="noConversion"/>
  </si>
  <si>
    <t>梅干燒肉</t>
    <phoneticPr fontId="2" type="noConversion"/>
  </si>
  <si>
    <t>三絲蒸蛋</t>
    <phoneticPr fontId="2" type="noConversion"/>
  </si>
  <si>
    <t>薯條雙拼</t>
    <phoneticPr fontId="2" type="noConversion"/>
  </si>
  <si>
    <t>(薯條、雞塊x1)</t>
    <phoneticPr fontId="2" type="noConversion"/>
  </si>
  <si>
    <t>黃瓜肉羹</t>
    <phoneticPr fontId="2" type="noConversion"/>
  </si>
  <si>
    <t>蜜汁翅小腿x2</t>
    <phoneticPr fontId="2" type="noConversion"/>
  </si>
  <si>
    <t>彩繪福州丸</t>
    <phoneticPr fontId="2" type="noConversion"/>
  </si>
  <si>
    <t>白花炒肉片</t>
    <phoneticPr fontId="2" type="noConversion"/>
  </si>
  <si>
    <t>青花香腸</t>
    <phoneticPr fontId="2" type="noConversion"/>
  </si>
  <si>
    <t>蒜蓉鍋貼X2</t>
    <phoneticPr fontId="2" type="noConversion"/>
  </si>
  <si>
    <t>芹香柳葉魚</t>
    <phoneticPr fontId="2" type="noConversion"/>
  </si>
  <si>
    <t>芝麻肉排丁</t>
    <phoneticPr fontId="2" type="noConversion"/>
  </si>
  <si>
    <t>吮指雞腿</t>
    <phoneticPr fontId="2" type="noConversion"/>
  </si>
  <si>
    <t>咖哩燉肉</t>
    <phoneticPr fontId="2" type="noConversion"/>
  </si>
  <si>
    <t>黃金腿排</t>
    <phoneticPr fontId="2" type="noConversion"/>
  </si>
  <si>
    <t>壽喜燒</t>
    <phoneticPr fontId="2" type="noConversion"/>
  </si>
  <si>
    <r>
      <rPr>
        <sz val="16"/>
        <rFont val="新細明體"/>
        <family val="1"/>
        <charset val="136"/>
      </rPr>
      <t>6月份午餐食材明細+營養分析</t>
    </r>
    <r>
      <rPr>
        <sz val="12"/>
        <rFont val="新細明體"/>
        <family val="1"/>
        <charset val="136"/>
      </rPr>
      <t xml:space="preserve">                   貝佳【第19週】</t>
    </r>
    <phoneticPr fontId="2" type="noConversion"/>
  </si>
  <si>
    <t>日期</t>
    <phoneticPr fontId="2" type="noConversion"/>
  </si>
  <si>
    <t>主菜</t>
    <phoneticPr fontId="2" type="noConversion"/>
  </si>
  <si>
    <t>重量(g)</t>
    <phoneticPr fontId="2" type="noConversion"/>
  </si>
  <si>
    <t>副菜</t>
    <phoneticPr fontId="2" type="noConversion"/>
  </si>
  <si>
    <t>湯</t>
    <phoneticPr fontId="2" type="noConversion"/>
  </si>
  <si>
    <t>主食</t>
    <phoneticPr fontId="2" type="noConversion"/>
  </si>
  <si>
    <t xml:space="preserve">營養分析 </t>
    <phoneticPr fontId="2" type="noConversion"/>
  </si>
  <si>
    <t>營養分析</t>
    <phoneticPr fontId="2" type="noConversion"/>
  </si>
  <si>
    <t>醣類g：</t>
    <phoneticPr fontId="2" type="noConversion"/>
  </si>
  <si>
    <t>全穀雜糧類</t>
  </si>
  <si>
    <t>份</t>
    <phoneticPr fontId="2" type="noConversion"/>
  </si>
  <si>
    <t>份</t>
    <phoneticPr fontId="2" type="noConversion"/>
  </si>
  <si>
    <t>熱量</t>
    <phoneticPr fontId="2" type="noConversion"/>
  </si>
  <si>
    <t>Kcal</t>
    <phoneticPr fontId="2" type="noConversion"/>
  </si>
  <si>
    <t>Kcal</t>
    <phoneticPr fontId="2" type="noConversion"/>
  </si>
  <si>
    <t>%</t>
    <phoneticPr fontId="2" type="noConversion"/>
  </si>
  <si>
    <t>食物六大類</t>
    <phoneticPr fontId="2" type="noConversion"/>
  </si>
  <si>
    <t>三大營養素</t>
    <phoneticPr fontId="2" type="noConversion"/>
  </si>
  <si>
    <t>豆魚蛋肉類</t>
  </si>
  <si>
    <t>醣類</t>
    <phoneticPr fontId="2" type="noConversion"/>
  </si>
  <si>
    <t>g</t>
    <phoneticPr fontId="2" type="noConversion"/>
  </si>
  <si>
    <t>g</t>
    <phoneticPr fontId="2" type="noConversion"/>
  </si>
  <si>
    <t>脂肪g：</t>
    <phoneticPr fontId="2" type="noConversion"/>
  </si>
  <si>
    <t>蔬菜類</t>
    <phoneticPr fontId="2" type="noConversion"/>
  </si>
  <si>
    <t>蔬菜類</t>
    <phoneticPr fontId="2" type="noConversion"/>
  </si>
  <si>
    <t>脂質</t>
    <phoneticPr fontId="2" type="noConversion"/>
  </si>
  <si>
    <t>脂質</t>
    <phoneticPr fontId="2" type="noConversion"/>
  </si>
  <si>
    <t>水果類</t>
    <phoneticPr fontId="2" type="noConversion"/>
  </si>
  <si>
    <t>蛋白質</t>
    <phoneticPr fontId="2" type="noConversion"/>
  </si>
  <si>
    <t>蛋白質g：</t>
    <phoneticPr fontId="2" type="noConversion"/>
  </si>
  <si>
    <t>乳品類</t>
  </si>
  <si>
    <t>星期一</t>
    <phoneticPr fontId="2" type="noConversion"/>
  </si>
  <si>
    <t>油脂與堅果種子類</t>
    <phoneticPr fontId="2" type="noConversion"/>
  </si>
  <si>
    <t>熱量kcal：</t>
    <phoneticPr fontId="2" type="noConversion"/>
  </si>
  <si>
    <t>食材總熱量</t>
    <phoneticPr fontId="2" type="noConversion"/>
  </si>
  <si>
    <t>食材總熱量</t>
    <phoneticPr fontId="2" type="noConversion"/>
  </si>
  <si>
    <t>星期二</t>
    <phoneticPr fontId="2" type="noConversion"/>
  </si>
  <si>
    <t>菜脯蔥炒蛋</t>
    <phoneticPr fontId="2" type="noConversion"/>
  </si>
  <si>
    <t>季節時蔬</t>
    <phoneticPr fontId="2" type="noConversion"/>
  </si>
  <si>
    <t>榨菜肉絲湯</t>
    <phoneticPr fontId="2" type="noConversion"/>
  </si>
  <si>
    <t>香Q白飯</t>
    <phoneticPr fontId="2" type="noConversion"/>
  </si>
  <si>
    <t>豬肉片</t>
    <phoneticPr fontId="2" type="noConversion"/>
  </si>
  <si>
    <t>液蛋</t>
    <phoneticPr fontId="2" type="noConversion"/>
  </si>
  <si>
    <t>青江菜</t>
    <phoneticPr fontId="2" type="noConversion"/>
  </si>
  <si>
    <t>豬肉</t>
    <phoneticPr fontId="2" type="noConversion"/>
  </si>
  <si>
    <t>白米</t>
    <phoneticPr fontId="2" type="noConversion"/>
  </si>
  <si>
    <t>洋蔥</t>
    <phoneticPr fontId="2" type="noConversion"/>
  </si>
  <si>
    <t>紅K</t>
  </si>
  <si>
    <t>榨菜</t>
    <phoneticPr fontId="2" type="noConversion"/>
  </si>
  <si>
    <t>薑片</t>
    <phoneticPr fontId="2" type="noConversion"/>
  </si>
  <si>
    <t>菜脯</t>
    <phoneticPr fontId="2" type="noConversion"/>
  </si>
  <si>
    <t>紅蘿蔔</t>
    <phoneticPr fontId="2" type="noConversion"/>
  </si>
  <si>
    <t>青蔥</t>
    <phoneticPr fontId="2" type="noConversion"/>
  </si>
  <si>
    <t>青蔥</t>
    <phoneticPr fontId="30" type="noConversion"/>
  </si>
  <si>
    <t>星期三</t>
    <phoneticPr fontId="2" type="noConversion"/>
  </si>
  <si>
    <t>燒</t>
    <phoneticPr fontId="2" type="noConversion"/>
  </si>
  <si>
    <t>炸</t>
    <phoneticPr fontId="2" type="noConversion"/>
  </si>
  <si>
    <t>炒</t>
    <phoneticPr fontId="2" type="noConversion"/>
  </si>
  <si>
    <t>燙</t>
    <phoneticPr fontId="2" type="noConversion"/>
  </si>
  <si>
    <t>煮</t>
    <phoneticPr fontId="2" type="noConversion"/>
  </si>
  <si>
    <t>蒸</t>
    <phoneticPr fontId="2" type="noConversion"/>
  </si>
  <si>
    <t>白花炒肉片</t>
    <phoneticPr fontId="2" type="noConversion"/>
  </si>
  <si>
    <t>水果蛋糕捲</t>
    <phoneticPr fontId="2" type="noConversion"/>
  </si>
  <si>
    <t>冬瓜山粉圓</t>
    <phoneticPr fontId="2" type="noConversion"/>
  </si>
  <si>
    <t>鬱金香炒飯</t>
    <phoneticPr fontId="2" type="noConversion"/>
  </si>
  <si>
    <t>白花椰</t>
    <phoneticPr fontId="2" type="noConversion"/>
  </si>
  <si>
    <t>水果蛋糕</t>
    <phoneticPr fontId="2" type="noConversion"/>
  </si>
  <si>
    <t>小白菜</t>
    <phoneticPr fontId="2" type="noConversion"/>
  </si>
  <si>
    <t>山粉圓</t>
    <phoneticPr fontId="2" type="noConversion"/>
  </si>
  <si>
    <t>廢棄率</t>
    <phoneticPr fontId="2" type="noConversion"/>
  </si>
  <si>
    <t>冬瓜塊</t>
    <phoneticPr fontId="2" type="noConversion"/>
  </si>
  <si>
    <t>玉米粒</t>
    <phoneticPr fontId="2" type="noConversion"/>
  </si>
  <si>
    <t>紅K</t>
    <phoneticPr fontId="2" type="noConversion"/>
  </si>
  <si>
    <t>木耳絲</t>
    <phoneticPr fontId="2" type="noConversion"/>
  </si>
  <si>
    <t>星期四</t>
    <phoneticPr fontId="2" type="noConversion"/>
  </si>
  <si>
    <t>洋蔥丁</t>
    <phoneticPr fontId="2" type="noConversion"/>
  </si>
  <si>
    <t>青豆仁</t>
    <phoneticPr fontId="2" type="noConversion"/>
  </si>
  <si>
    <t>烤</t>
    <phoneticPr fontId="2" type="noConversion"/>
  </si>
  <si>
    <t>1人1餐份數*____餐</t>
    <phoneticPr fontId="2" type="noConversion"/>
  </si>
  <si>
    <t>1人1餐份數*____餐</t>
    <phoneticPr fontId="2" type="noConversion"/>
  </si>
  <si>
    <t>菜單開立均是以可食量(EP)計算</t>
    <phoneticPr fontId="2" type="noConversion"/>
  </si>
  <si>
    <t>菜單開立均是以可食量(EP)計算</t>
    <phoneticPr fontId="2" type="noConversion"/>
  </si>
  <si>
    <t>每週一、三、五提供深綠色蔬菜 (有機蔬菜菜名需待前一週農民告知)</t>
    <phoneticPr fontId="2" type="noConversion"/>
  </si>
  <si>
    <t>每週一、三、五提供深綠色蔬菜 (有機蔬菜菜名需待前一週農民告知)</t>
    <phoneticPr fontId="2" type="noConversion"/>
  </si>
  <si>
    <t>全面使用非基改豆製品</t>
    <phoneticPr fontId="2" type="noConversion"/>
  </si>
  <si>
    <t>全面使用非基改豆製品</t>
    <phoneticPr fontId="2" type="noConversion"/>
  </si>
  <si>
    <t>水果若是香蕉為2份；蘋果、芭樂、橘子為1份；小番茄、葡萄等為0.3份(水果需待前一週廠商告知)</t>
    <phoneticPr fontId="2" type="noConversion"/>
  </si>
  <si>
    <t>水果若是香蕉為2份；蘋果、芭樂、橘子為1份；小番茄、葡萄等為0.3份(水果需待前一週廠商告知)</t>
    <phoneticPr fontId="2" type="noConversion"/>
  </si>
  <si>
    <r>
      <rPr>
        <sz val="16"/>
        <rFont val="新細明體"/>
        <family val="1"/>
        <charset val="136"/>
      </rPr>
      <t>7月份午餐食材明細+營養分析</t>
    </r>
    <r>
      <rPr>
        <sz val="12"/>
        <rFont val="新細明體"/>
        <family val="1"/>
        <charset val="136"/>
      </rPr>
      <t xml:space="preserve">                   貝佳【第20週】</t>
    </r>
    <phoneticPr fontId="2" type="noConversion"/>
  </si>
  <si>
    <t>青菜</t>
    <phoneticPr fontId="2" type="noConversion"/>
  </si>
  <si>
    <t>青木瓜排骨湯</t>
    <phoneticPr fontId="2" type="noConversion"/>
  </si>
  <si>
    <t>肉丁</t>
    <phoneticPr fontId="2" type="noConversion"/>
  </si>
  <si>
    <t>空心菜</t>
    <phoneticPr fontId="2" type="noConversion"/>
  </si>
  <si>
    <t>青木瓜</t>
    <phoneticPr fontId="2" type="noConversion"/>
  </si>
  <si>
    <t>竹筍</t>
    <phoneticPr fontId="2" type="noConversion"/>
  </si>
  <si>
    <t>排骨</t>
    <phoneticPr fontId="2" type="noConversion"/>
  </si>
  <si>
    <t>滷</t>
    <phoneticPr fontId="2" type="noConversion"/>
  </si>
  <si>
    <t>三杯雞</t>
    <phoneticPr fontId="2" type="noConversion"/>
  </si>
  <si>
    <t>蒙古高麗菜</t>
    <phoneticPr fontId="2" type="noConversion"/>
  </si>
  <si>
    <t>季節蔬菜</t>
    <phoneticPr fontId="2" type="noConversion"/>
  </si>
  <si>
    <t>翡翠丸子湯</t>
    <phoneticPr fontId="2" type="noConversion"/>
  </si>
  <si>
    <t>雞丁</t>
    <phoneticPr fontId="2" type="noConversion"/>
  </si>
  <si>
    <t>高麗菜</t>
    <phoneticPr fontId="2" type="noConversion"/>
  </si>
  <si>
    <t>油菜</t>
    <phoneticPr fontId="2" type="noConversion"/>
  </si>
  <si>
    <t>菠菜</t>
    <phoneticPr fontId="2" type="noConversion"/>
  </si>
  <si>
    <t>肉片</t>
    <phoneticPr fontId="2" type="noConversion"/>
  </si>
  <si>
    <t>丸子</t>
    <phoneticPr fontId="2" type="noConversion"/>
  </si>
  <si>
    <t>木耳</t>
    <phoneticPr fontId="2" type="noConversion"/>
  </si>
  <si>
    <t>九層塔</t>
    <phoneticPr fontId="2" type="noConversion"/>
  </si>
  <si>
    <t>孜然粉</t>
    <phoneticPr fontId="2" type="noConversion"/>
  </si>
  <si>
    <t>適量</t>
    <phoneticPr fontId="2" type="noConversion"/>
  </si>
  <si>
    <t>筍片雞湯</t>
    <phoneticPr fontId="2" type="noConversion"/>
  </si>
  <si>
    <t>筍片</t>
    <phoneticPr fontId="2" type="noConversion"/>
  </si>
  <si>
    <t>芋香西米露</t>
    <phoneticPr fontId="2" type="noConversion"/>
  </si>
  <si>
    <t>在地人炒麵</t>
    <phoneticPr fontId="2" type="noConversion"/>
  </si>
  <si>
    <t>青花</t>
    <phoneticPr fontId="2" type="noConversion"/>
  </si>
  <si>
    <t>鵝白菜</t>
    <phoneticPr fontId="2" type="noConversion"/>
  </si>
  <si>
    <t>芋頭</t>
    <phoneticPr fontId="2" type="noConversion"/>
  </si>
  <si>
    <t>油麵</t>
    <phoneticPr fontId="2" type="noConversion"/>
  </si>
  <si>
    <t>西谷米</t>
    <phoneticPr fontId="2" type="noConversion"/>
  </si>
  <si>
    <t>紅蘿蔔</t>
    <phoneticPr fontId="30" type="noConversion"/>
  </si>
  <si>
    <t>高麗菜</t>
    <phoneticPr fontId="30" type="noConversion"/>
  </si>
  <si>
    <t>蔥</t>
    <phoneticPr fontId="30" type="noConversion"/>
  </si>
  <si>
    <r>
      <rPr>
        <sz val="16"/>
        <rFont val="新細明體"/>
        <family val="1"/>
        <charset val="136"/>
      </rPr>
      <t>7月份午餐食材明細+營養分析</t>
    </r>
    <r>
      <rPr>
        <sz val="12"/>
        <rFont val="新細明體"/>
        <family val="1"/>
        <charset val="136"/>
      </rPr>
      <t xml:space="preserve">                   貝佳【第21週】</t>
    </r>
    <phoneticPr fontId="2" type="noConversion"/>
  </si>
  <si>
    <t>佛跳牆</t>
    <phoneticPr fontId="2" type="noConversion"/>
  </si>
  <si>
    <t>港式雙拼</t>
    <phoneticPr fontId="2" type="noConversion"/>
  </si>
  <si>
    <t>玉米濃湯</t>
    <phoneticPr fontId="2" type="noConversion"/>
  </si>
  <si>
    <t>大白菜</t>
    <phoneticPr fontId="2" type="noConversion"/>
  </si>
  <si>
    <t>燒賣</t>
    <phoneticPr fontId="2" type="noConversion"/>
  </si>
  <si>
    <t>洋芋</t>
    <phoneticPr fontId="2" type="noConversion"/>
  </si>
  <si>
    <t>排骨酥</t>
    <phoneticPr fontId="2" type="noConversion"/>
  </si>
  <si>
    <t>彩繪福州丸</t>
    <phoneticPr fontId="2" type="noConversion"/>
  </si>
  <si>
    <t>小瓜炒豚片</t>
    <phoneticPr fontId="2" type="noConversion"/>
  </si>
  <si>
    <t>冬瓜排骨湯</t>
    <phoneticPr fontId="2" type="noConversion"/>
  </si>
  <si>
    <t>福州丸</t>
    <phoneticPr fontId="2" type="noConversion"/>
  </si>
  <si>
    <t>小黃瓜</t>
    <phoneticPr fontId="2" type="noConversion"/>
  </si>
  <si>
    <t>冬瓜</t>
    <phoneticPr fontId="2" type="noConversion"/>
  </si>
  <si>
    <t>豆芽菜</t>
    <phoneticPr fontId="2" type="noConversion"/>
  </si>
  <si>
    <t>星期五</t>
    <phoneticPr fontId="2" type="noConversion"/>
  </si>
  <si>
    <t>壽喜燒</t>
    <phoneticPr fontId="2" type="noConversion"/>
  </si>
  <si>
    <t>花生米血糕</t>
    <phoneticPr fontId="2" type="noConversion"/>
  </si>
  <si>
    <t>米血糕</t>
    <phoneticPr fontId="2" type="noConversion"/>
  </si>
  <si>
    <t>花生粉</t>
    <phoneticPr fontId="2" type="noConversion"/>
  </si>
  <si>
    <t>蒸</t>
    <phoneticPr fontId="2" type="noConversion"/>
  </si>
  <si>
    <t>酥炸雞翅</t>
    <phoneticPr fontId="2" type="noConversion"/>
  </si>
  <si>
    <t>雞翅</t>
    <phoneticPr fontId="2" type="noConversion"/>
  </si>
  <si>
    <t>梅干燒肉</t>
    <phoneticPr fontId="2" type="noConversion"/>
  </si>
  <si>
    <t>梅干</t>
    <phoneticPr fontId="2" type="noConversion"/>
  </si>
  <si>
    <t>三絲蒸蛋</t>
    <phoneticPr fontId="2" type="noConversion"/>
  </si>
  <si>
    <t>蛋液</t>
    <phoneticPr fontId="2" type="noConversion"/>
  </si>
  <si>
    <t>魚板絲</t>
    <phoneticPr fontId="2" type="noConversion"/>
  </si>
  <si>
    <t>柴魚片</t>
    <phoneticPr fontId="2" type="noConversion"/>
  </si>
  <si>
    <t>薯條雙拼</t>
    <phoneticPr fontId="2" type="noConversion"/>
  </si>
  <si>
    <t>薯條</t>
    <phoneticPr fontId="2" type="noConversion"/>
  </si>
  <si>
    <t>雞塊</t>
    <phoneticPr fontId="2" type="noConversion"/>
  </si>
  <si>
    <t>烤</t>
    <phoneticPr fontId="2" type="noConversion"/>
  </si>
  <si>
    <t>燒</t>
    <phoneticPr fontId="2" type="noConversion"/>
  </si>
  <si>
    <t>黃瓜肉羹</t>
    <phoneticPr fontId="2" type="noConversion"/>
  </si>
  <si>
    <t>黃瓜</t>
    <phoneticPr fontId="2" type="noConversion"/>
  </si>
  <si>
    <t>肉羹</t>
    <phoneticPr fontId="2" type="noConversion"/>
  </si>
  <si>
    <t>紅蘿蔔</t>
  </si>
  <si>
    <t>紅蘿蔔</t>
    <phoneticPr fontId="2" type="noConversion"/>
  </si>
  <si>
    <t>肉丁</t>
  </si>
  <si>
    <t>廢棄率</t>
  </si>
  <si>
    <t>芝麻</t>
  </si>
  <si>
    <t>適量</t>
  </si>
  <si>
    <t>黑豆干</t>
  </si>
  <si>
    <t>芝麻肉排丁</t>
    <phoneticPr fontId="2" type="noConversion"/>
  </si>
  <si>
    <t>蜜汁翅腿</t>
    <phoneticPr fontId="2" type="noConversion"/>
  </si>
  <si>
    <t>翅小腿</t>
    <phoneticPr fontId="2" type="noConversion"/>
  </si>
  <si>
    <t>滷</t>
    <phoneticPr fontId="2" type="noConversion"/>
  </si>
  <si>
    <t>大白菜</t>
    <phoneticPr fontId="2" type="noConversion"/>
  </si>
  <si>
    <t>黃金腿排</t>
    <phoneticPr fontId="2" type="noConversion"/>
  </si>
  <si>
    <t>青花香腸</t>
    <phoneticPr fontId="2" type="noConversion"/>
  </si>
  <si>
    <t>香腸</t>
    <phoneticPr fontId="2" type="noConversion"/>
  </si>
  <si>
    <t>蒜蓉鍋貼</t>
    <phoneticPr fontId="2" type="noConversion"/>
  </si>
  <si>
    <t>鍋貼</t>
    <phoneticPr fontId="2" type="noConversion"/>
  </si>
  <si>
    <t>蒜蓉醬</t>
    <phoneticPr fontId="2" type="noConversion"/>
  </si>
  <si>
    <t>吮指雞腿</t>
    <phoneticPr fontId="2" type="noConversion"/>
  </si>
  <si>
    <t>雞腿</t>
    <phoneticPr fontId="2" type="noConversion"/>
  </si>
  <si>
    <t>炸</t>
    <phoneticPr fontId="2" type="noConversion"/>
  </si>
  <si>
    <t>水餃</t>
    <phoneticPr fontId="2" type="noConversion"/>
  </si>
  <si>
    <t>咖哩燉肉</t>
    <phoneticPr fontId="2" type="noConversion"/>
  </si>
  <si>
    <t>肉丁</t>
    <phoneticPr fontId="2" type="noConversion"/>
  </si>
  <si>
    <t>洋芋</t>
    <phoneticPr fontId="2" type="noConversion"/>
  </si>
  <si>
    <t>芹香柳葉魚</t>
    <phoneticPr fontId="2" type="noConversion"/>
  </si>
  <si>
    <t>柳葉魚</t>
    <phoneticPr fontId="2" type="noConversion"/>
  </si>
  <si>
    <t>芹菜</t>
    <phoneticPr fontId="2" type="noConversion"/>
  </si>
  <si>
    <t>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</si>
</sst>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76" formatCode="0.0_ "/>
    <numFmt numFmtId="177" formatCode="m&quot;月&quot;d&quot;日&quot;;@"/>
    <numFmt numFmtId="178" formatCode="m&quot;月&quot;d&quot;日&quot;"/>
    <numFmt numFmtId="179" formatCode="0.0"/>
    <numFmt numFmtId="180" formatCode="0.00_ "/>
  </numFmts>
  <fonts count="3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細明體-ExtB"/>
      <family val="1"/>
      <charset val="136"/>
    </font>
    <font>
      <sz val="30"/>
      <name val="華康布丁體"/>
      <family val="5"/>
      <charset val="136"/>
    </font>
    <font>
      <sz val="14"/>
      <name val="華康中特圓體"/>
      <family val="3"/>
      <charset val="136"/>
    </font>
    <font>
      <sz val="14"/>
      <name val="Times New Roman"/>
      <family val="1"/>
    </font>
    <font>
      <sz val="10"/>
      <name val="新細明體"/>
      <family val="1"/>
      <charset val="136"/>
    </font>
    <font>
      <sz val="28"/>
      <name val="華康墨字體"/>
      <family val="5"/>
      <charset val="136"/>
    </font>
    <font>
      <sz val="16"/>
      <name val="華康流隸體(P)"/>
      <family val="4"/>
      <charset val="136"/>
    </font>
    <font>
      <sz val="16"/>
      <name val="新細明體"/>
      <family val="1"/>
      <charset val="136"/>
    </font>
    <font>
      <sz val="24"/>
      <name val="華康娃娃體(P)"/>
      <family val="5"/>
      <charset val="136"/>
    </font>
    <font>
      <sz val="18"/>
      <name val="華康娃娃體(P)"/>
      <family val="5"/>
      <charset val="136"/>
    </font>
    <font>
      <sz val="18"/>
      <color rgb="FFFF00FF"/>
      <name val="華康娃娃體(P)"/>
      <family val="5"/>
      <charset val="136"/>
    </font>
    <font>
      <sz val="24"/>
      <color rgb="FF008000"/>
      <name val="華康娃娃體(P)"/>
      <family val="5"/>
      <charset val="136"/>
    </font>
    <font>
      <sz val="16"/>
      <color theme="1"/>
      <name val="華康流隸體(P)"/>
      <family val="4"/>
      <charset val="136"/>
    </font>
    <font>
      <sz val="16"/>
      <color theme="1"/>
      <name val="新細明體"/>
      <family val="1"/>
      <charset val="136"/>
    </font>
    <font>
      <b/>
      <sz val="22"/>
      <color rgb="FF0000FF"/>
      <name val="華康娃娃體(P)"/>
      <family val="5"/>
      <charset val="136"/>
    </font>
    <font>
      <sz val="36"/>
      <color indexed="10"/>
      <name val="華康少女文字W5(P)"/>
      <family val="5"/>
      <charset val="136"/>
    </font>
    <font>
      <sz val="36"/>
      <name val="華康少女文字W5(P)"/>
      <family val="5"/>
      <charset val="136"/>
    </font>
    <font>
      <sz val="48"/>
      <color indexed="10"/>
      <name val="華康少女文字W5(P)"/>
      <family val="5"/>
      <charset val="136"/>
    </font>
    <font>
      <sz val="46"/>
      <color indexed="10"/>
      <name val="華康少女文字W5(P)"/>
      <family val="5"/>
      <charset val="136"/>
    </font>
    <font>
      <sz val="46"/>
      <name val="華康少女文字W5(P)"/>
      <family val="5"/>
      <charset val="136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1"/>
      <color indexed="10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3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3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17"/>
      <name val="新細明體"/>
      <family val="1"/>
      <charset val="136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8" tint="0.79998168889431442"/>
      </left>
      <right/>
      <top style="thick">
        <color theme="8" tint="0.79998168889431442"/>
      </top>
      <bottom style="medium">
        <color indexed="64"/>
      </bottom>
      <diagonal/>
    </border>
    <border>
      <left/>
      <right/>
      <top style="thick">
        <color theme="8" tint="0.79998168889431442"/>
      </top>
      <bottom style="medium">
        <color indexed="64"/>
      </bottom>
      <diagonal/>
    </border>
    <border>
      <left/>
      <right style="thick">
        <color theme="8" tint="0.79998168889431442"/>
      </right>
      <top style="thick">
        <color theme="8" tint="0.79998168889431442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59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59"/>
      </left>
      <right/>
      <top/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5" fillId="0" borderId="0"/>
    <xf numFmtId="0" fontId="36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78" fontId="9" fillId="5" borderId="14" xfId="0" applyNumberFormat="1" applyFont="1" applyFill="1" applyBorder="1" applyAlignment="1">
      <alignment horizontal="center" vertical="center" shrinkToFit="1"/>
    </xf>
    <xf numFmtId="0" fontId="9" fillId="5" borderId="13" xfId="0" applyNumberFormat="1" applyFont="1" applyFill="1" applyBorder="1" applyAlignment="1">
      <alignment horizontal="center" vertical="center" shrinkToFit="1"/>
    </xf>
    <xf numFmtId="177" fontId="9" fillId="5" borderId="14" xfId="0" applyNumberFormat="1" applyFont="1" applyFill="1" applyBorder="1" applyAlignment="1">
      <alignment horizontal="center" vertical="center" shrinkToFit="1"/>
    </xf>
    <xf numFmtId="178" fontId="15" fillId="5" borderId="14" xfId="0" applyNumberFormat="1" applyFont="1" applyFill="1" applyBorder="1" applyAlignment="1">
      <alignment horizontal="center" vertical="center" shrinkToFit="1"/>
    </xf>
    <xf numFmtId="0" fontId="15" fillId="5" borderId="13" xfId="0" applyNumberFormat="1" applyFont="1" applyFill="1" applyBorder="1" applyAlignment="1">
      <alignment horizontal="center" vertical="center" shrinkToFit="1"/>
    </xf>
    <xf numFmtId="177" fontId="15" fillId="5" borderId="14" xfId="0" applyNumberFormat="1" applyFont="1" applyFill="1" applyBorder="1" applyAlignment="1">
      <alignment horizontal="center" vertical="center" shrinkToFit="1"/>
    </xf>
    <xf numFmtId="0" fontId="16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10" fillId="5" borderId="0" xfId="0" applyFont="1" applyFill="1" applyAlignment="1">
      <alignment vertical="center"/>
    </xf>
    <xf numFmtId="0" fontId="15" fillId="5" borderId="13" xfId="0" applyNumberFormat="1" applyFont="1" applyFill="1" applyBorder="1" applyAlignment="1">
      <alignment horizontal="center" vertical="top" shrinkToFit="1"/>
    </xf>
    <xf numFmtId="0" fontId="0" fillId="0" borderId="0" xfId="0" applyFill="1" applyAlignment="1">
      <alignment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0" fillId="0" borderId="24" xfId="0" applyBorder="1" applyAlignment="1">
      <alignment vertical="center" textRotation="255"/>
    </xf>
    <xf numFmtId="0" fontId="0" fillId="0" borderId="25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1" fillId="9" borderId="28" xfId="2" applyFont="1" applyFill="1" applyBorder="1" applyAlignment="1">
      <alignment horizontal="center" vertical="center"/>
    </xf>
    <xf numFmtId="176" fontId="1" fillId="0" borderId="29" xfId="2" applyNumberFormat="1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" fillId="3" borderId="30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2" applyFont="1" applyFill="1" applyBorder="1" applyAlignment="1">
      <alignment horizontal="left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0" fillId="0" borderId="1" xfId="2" applyFont="1" applyFill="1" applyBorder="1" applyAlignment="1">
      <alignment vertical="center" shrinkToFit="1"/>
    </xf>
    <xf numFmtId="0" fontId="0" fillId="0" borderId="6" xfId="2" applyFont="1" applyFill="1" applyBorder="1" applyAlignment="1">
      <alignment vertical="center" shrinkToFit="1"/>
    </xf>
    <xf numFmtId="0" fontId="1" fillId="0" borderId="34" xfId="2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4" xfId="0" applyFont="1" applyFill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horizontal="right" vertical="center"/>
    </xf>
    <xf numFmtId="0" fontId="1" fillId="10" borderId="35" xfId="2" applyFont="1" applyFill="1" applyBorder="1" applyAlignment="1">
      <alignment horizontal="center" vertical="center"/>
    </xf>
    <xf numFmtId="180" fontId="1" fillId="0" borderId="36" xfId="2" applyNumberFormat="1" applyFont="1" applyFill="1" applyBorder="1" applyAlignment="1">
      <alignment horizontal="center" vertical="center"/>
    </xf>
    <xf numFmtId="0" fontId="1" fillId="0" borderId="37" xfId="2" applyFont="1" applyFill="1" applyBorder="1" applyAlignment="1">
      <alignment horizontal="center" vertical="center"/>
    </xf>
    <xf numFmtId="0" fontId="1" fillId="3" borderId="37" xfId="2" applyFont="1" applyFill="1" applyBorder="1" applyAlignment="1">
      <alignment horizontal="center" vertical="center"/>
    </xf>
    <xf numFmtId="179" fontId="1" fillId="0" borderId="38" xfId="2" applyNumberFormat="1" applyFont="1" applyFill="1" applyBorder="1" applyAlignment="1">
      <alignment horizontal="center" vertical="center"/>
    </xf>
    <xf numFmtId="9" fontId="1" fillId="0" borderId="39" xfId="4" applyNumberFormat="1" applyFont="1" applyFill="1" applyBorder="1" applyAlignment="1">
      <alignment horizontal="center" vertical="center"/>
    </xf>
    <xf numFmtId="0" fontId="1" fillId="9" borderId="40" xfId="2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vertical="center" shrinkToFit="1"/>
    </xf>
    <xf numFmtId="0" fontId="0" fillId="0" borderId="5" xfId="2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8" xfId="0" applyFont="1" applyBorder="1">
      <alignment vertical="center"/>
    </xf>
    <xf numFmtId="0" fontId="1" fillId="11" borderId="35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5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9" fontId="25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1" fillId="12" borderId="35" xfId="2" applyFont="1" applyFill="1" applyBorder="1" applyAlignment="1">
      <alignment horizontal="center" vertical="center"/>
    </xf>
    <xf numFmtId="176" fontId="1" fillId="0" borderId="36" xfId="2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1" fillId="13" borderId="35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9" fontId="1" fillId="0" borderId="5" xfId="2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shrinkToFit="1"/>
    </xf>
    <xf numFmtId="0" fontId="1" fillId="14" borderId="35" xfId="2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1" fillId="0" borderId="41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1" fillId="0" borderId="43" xfId="2" applyFont="1" applyFill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0" fillId="0" borderId="22" xfId="0" applyFont="1" applyBorder="1">
      <alignment vertical="center"/>
    </xf>
    <xf numFmtId="176" fontId="1" fillId="0" borderId="7" xfId="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0" borderId="2" xfId="0" applyFont="1" applyFill="1" applyBorder="1" applyAlignment="1">
      <alignment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1" fillId="3" borderId="44" xfId="2" applyFont="1" applyFill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/>
    </xf>
    <xf numFmtId="0" fontId="1" fillId="0" borderId="44" xfId="2" applyFont="1" applyFill="1" applyBorder="1" applyAlignment="1">
      <alignment horizontal="center" vertical="center"/>
    </xf>
    <xf numFmtId="0" fontId="1" fillId="0" borderId="45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vertical="center" shrinkToFit="1"/>
    </xf>
    <xf numFmtId="9" fontId="26" fillId="0" borderId="5" xfId="2" applyNumberFormat="1" applyFont="1" applyFill="1" applyBorder="1" applyAlignment="1">
      <alignment horizontal="center" vertical="center" shrinkToFit="1"/>
    </xf>
    <xf numFmtId="0" fontId="1" fillId="0" borderId="6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shrinkToFit="1"/>
    </xf>
    <xf numFmtId="0" fontId="28" fillId="0" borderId="6" xfId="0" applyFont="1" applyBorder="1" applyAlignment="1">
      <alignment vertical="center" shrinkToFit="1"/>
    </xf>
    <xf numFmtId="9" fontId="28" fillId="0" borderId="5" xfId="0" applyNumberFormat="1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0" fillId="0" borderId="6" xfId="3" applyFont="1" applyFill="1" applyBorder="1" applyAlignment="1">
      <alignment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2" xfId="5" applyFont="1" applyBorder="1" applyAlignment="1">
      <alignment horizontal="left" vertical="center" shrinkToFit="1"/>
    </xf>
    <xf numFmtId="0" fontId="1" fillId="0" borderId="34" xfId="5" applyFont="1" applyBorder="1" applyAlignment="1">
      <alignment horizontal="center" vertical="center" shrinkToFit="1"/>
    </xf>
    <xf numFmtId="0" fontId="29" fillId="0" borderId="46" xfId="0" applyFont="1" applyFill="1" applyBorder="1" applyAlignment="1">
      <alignment vertical="center"/>
    </xf>
    <xf numFmtId="0" fontId="0" fillId="0" borderId="6" xfId="5" applyFont="1" applyBorder="1" applyAlignment="1">
      <alignment horizontal="left" vertical="center" shrinkToFit="1"/>
    </xf>
    <xf numFmtId="0" fontId="1" fillId="0" borderId="5" xfId="5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9" fillId="0" borderId="6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1" fillId="0" borderId="47" xfId="5" applyFont="1" applyBorder="1" applyAlignment="1">
      <alignment horizontal="center" vertical="center" shrinkToFit="1"/>
    </xf>
    <xf numFmtId="0" fontId="23" fillId="0" borderId="1" xfId="0" applyFont="1" applyFill="1" applyBorder="1" applyAlignment="1">
      <alignment vertical="center" shrinkToFit="1"/>
    </xf>
    <xf numFmtId="0" fontId="26" fillId="0" borderId="6" xfId="0" applyFont="1" applyFill="1" applyBorder="1" applyAlignment="1">
      <alignment vertical="center"/>
    </xf>
    <xf numFmtId="9" fontId="26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6" xfId="3" applyFont="1" applyBorder="1" applyAlignment="1">
      <alignment vertical="center" shrinkToFit="1"/>
    </xf>
    <xf numFmtId="0" fontId="1" fillId="0" borderId="5" xfId="3" applyFont="1" applyBorder="1" applyAlignment="1">
      <alignment horizontal="center" vertical="center" shrinkToFit="1"/>
    </xf>
    <xf numFmtId="0" fontId="31" fillId="0" borderId="6" xfId="5" applyFont="1" applyBorder="1" applyAlignment="1">
      <alignment horizontal="left" vertical="center" shrinkToFit="1"/>
    </xf>
    <xf numFmtId="0" fontId="1" fillId="0" borderId="48" xfId="5" applyFont="1" applyBorder="1" applyAlignment="1">
      <alignment horizontal="center" vertical="center" shrinkToFit="1"/>
    </xf>
    <xf numFmtId="0" fontId="0" fillId="0" borderId="6" xfId="6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25" fillId="0" borderId="6" xfId="0" applyFont="1" applyFill="1" applyBorder="1" applyAlignment="1">
      <alignment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6" xfId="0" applyFont="1" applyBorder="1" applyAlignment="1">
      <alignment vertical="center" shrinkToFit="1"/>
    </xf>
    <xf numFmtId="0" fontId="0" fillId="0" borderId="24" xfId="0" applyFont="1" applyBorder="1" applyAlignment="1">
      <alignment vertical="center" textRotation="255"/>
    </xf>
    <xf numFmtId="0" fontId="0" fillId="0" borderId="25" xfId="0" applyFont="1" applyBorder="1" applyAlignment="1">
      <alignment horizontal="center" vertical="center"/>
    </xf>
    <xf numFmtId="0" fontId="0" fillId="0" borderId="2" xfId="2" applyFont="1" applyFill="1" applyBorder="1" applyAlignment="1">
      <alignment vertical="center" shrinkToFit="1"/>
    </xf>
    <xf numFmtId="180" fontId="0" fillId="0" borderId="36" xfId="2" applyNumberFormat="1" applyFont="1" applyFill="1" applyBorder="1" applyAlignment="1">
      <alignment horizontal="center" vertical="center"/>
    </xf>
    <xf numFmtId="0" fontId="0" fillId="0" borderId="6" xfId="2" applyFont="1" applyBorder="1" applyAlignment="1">
      <alignment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26" fillId="0" borderId="6" xfId="0" applyFont="1" applyBorder="1" applyAlignment="1">
      <alignment vertical="center" shrinkToFit="1"/>
    </xf>
    <xf numFmtId="9" fontId="26" fillId="0" borderId="5" xfId="0" applyNumberFormat="1" applyFont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1" fillId="0" borderId="1" xfId="2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shrinkToFit="1"/>
    </xf>
    <xf numFmtId="9" fontId="25" fillId="0" borderId="0" xfId="0" applyNumberFormat="1" applyFont="1" applyFill="1" applyBorder="1" applyAlignment="1">
      <alignment horizontal="center" vertical="center" shrinkToFit="1"/>
    </xf>
    <xf numFmtId="0" fontId="0" fillId="11" borderId="35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0" fontId="1" fillId="0" borderId="34" xfId="2" applyFont="1" applyBorder="1" applyAlignment="1">
      <alignment horizontal="center" vertical="center" shrinkToFit="1"/>
    </xf>
    <xf numFmtId="9" fontId="25" fillId="0" borderId="5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5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49" xfId="5" applyFont="1" applyBorder="1" applyAlignment="1">
      <alignment horizontal="left" vertical="center" shrinkToFit="1"/>
    </xf>
    <xf numFmtId="0" fontId="34" fillId="0" borderId="6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26" fillId="0" borderId="49" xfId="5" applyFont="1" applyBorder="1" applyAlignment="1">
      <alignment horizontal="left" vertical="center" shrinkToFit="1"/>
    </xf>
    <xf numFmtId="9" fontId="26" fillId="0" borderId="5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1" fillId="0" borderId="49" xfId="5" applyFont="1" applyBorder="1" applyAlignment="1">
      <alignment horizontal="left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0" fontId="25" fillId="0" borderId="6" xfId="2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7" fillId="0" borderId="0" xfId="0" applyFont="1">
      <alignment vertical="center"/>
    </xf>
    <xf numFmtId="0" fontId="4" fillId="7" borderId="16" xfId="0" applyFont="1" applyFill="1" applyBorder="1" applyAlignment="1">
      <alignment horizontal="center" wrapText="1" shrinkToFit="1"/>
    </xf>
    <xf numFmtId="0" fontId="4" fillId="7" borderId="17" xfId="0" applyFont="1" applyFill="1" applyBorder="1" applyAlignment="1">
      <alignment horizontal="center" wrapText="1" shrinkToFit="1"/>
    </xf>
    <xf numFmtId="0" fontId="4" fillId="7" borderId="18" xfId="0" applyFont="1" applyFill="1" applyBorder="1" applyAlignment="1">
      <alignment horizontal="center" wrapText="1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20" fillId="4" borderId="10" xfId="1" applyFont="1" applyFill="1" applyBorder="1" applyAlignment="1">
      <alignment horizontal="center" vertical="center" wrapText="1" shrinkToFit="1"/>
    </xf>
    <xf numFmtId="0" fontId="20" fillId="4" borderId="9" xfId="1" applyFont="1" applyFill="1" applyBorder="1" applyAlignment="1">
      <alignment horizontal="center" vertical="center" wrapText="1" shrinkToFit="1"/>
    </xf>
    <xf numFmtId="0" fontId="20" fillId="4" borderId="6" xfId="1" applyFont="1" applyFill="1" applyBorder="1" applyAlignment="1">
      <alignment horizontal="center" vertical="center" wrapText="1" shrinkToFit="1"/>
    </xf>
    <xf numFmtId="0" fontId="20" fillId="4" borderId="5" xfId="1" applyFont="1" applyFill="1" applyBorder="1" applyAlignment="1">
      <alignment horizontal="center" vertical="center" wrapText="1" shrinkToFit="1"/>
    </xf>
    <xf numFmtId="0" fontId="21" fillId="6" borderId="10" xfId="1" applyFont="1" applyFill="1" applyBorder="1" applyAlignment="1">
      <alignment horizontal="center" vertical="center" wrapText="1" shrinkToFit="1"/>
    </xf>
    <xf numFmtId="0" fontId="22" fillId="6" borderId="9" xfId="0" applyFont="1" applyFill="1" applyBorder="1" applyAlignment="1">
      <alignment horizontal="center" vertical="center" shrinkToFit="1"/>
    </xf>
    <xf numFmtId="0" fontId="21" fillId="6" borderId="6" xfId="1" applyFont="1" applyFill="1" applyBorder="1" applyAlignment="1">
      <alignment horizontal="center" vertical="center" shrinkToFit="1"/>
    </xf>
    <xf numFmtId="0" fontId="22" fillId="6" borderId="5" xfId="0" applyFont="1" applyFill="1" applyBorder="1" applyAlignment="1">
      <alignment horizontal="center" vertical="center" shrinkToFit="1"/>
    </xf>
    <xf numFmtId="0" fontId="21" fillId="4" borderId="10" xfId="1" applyFont="1" applyFill="1" applyBorder="1" applyAlignment="1">
      <alignment horizontal="center" vertical="center" wrapText="1" shrinkToFit="1"/>
    </xf>
    <xf numFmtId="0" fontId="21" fillId="4" borderId="9" xfId="1" applyFont="1" applyFill="1" applyBorder="1" applyAlignment="1">
      <alignment horizontal="center" vertical="center" wrapText="1" shrinkToFit="1"/>
    </xf>
    <xf numFmtId="0" fontId="21" fillId="4" borderId="6" xfId="1" applyFont="1" applyFill="1" applyBorder="1" applyAlignment="1">
      <alignment horizontal="center" vertical="center" wrapText="1" shrinkToFit="1"/>
    </xf>
    <xf numFmtId="0" fontId="21" fillId="4" borderId="5" xfId="1" applyFont="1" applyFill="1" applyBorder="1" applyAlignment="1">
      <alignment horizontal="center" vertical="center" wrapText="1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176" fontId="3" fillId="3" borderId="21" xfId="0" applyNumberFormat="1" applyFont="1" applyFill="1" applyBorder="1" applyAlignment="1">
      <alignment horizontal="center" vertical="center" shrinkToFit="1"/>
    </xf>
    <xf numFmtId="176" fontId="3" fillId="3" borderId="23" xfId="0" applyNumberFormat="1" applyFont="1" applyFill="1" applyBorder="1" applyAlignment="1">
      <alignment horizontal="center" vertical="center" shrinkToFit="1"/>
    </xf>
    <xf numFmtId="176" fontId="3" fillId="3" borderId="22" xfId="0" applyNumberFormat="1" applyFont="1" applyFill="1" applyBorder="1" applyAlignment="1">
      <alignment horizontal="center" vertical="center" shrinkToFit="1"/>
    </xf>
    <xf numFmtId="176" fontId="3" fillId="3" borderId="4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center" vertical="center" shrinkToFit="1"/>
    </xf>
    <xf numFmtId="0" fontId="21" fillId="6" borderId="9" xfId="1" applyFont="1" applyFill="1" applyBorder="1" applyAlignment="1">
      <alignment horizontal="center" vertical="center" wrapText="1" shrinkToFit="1"/>
    </xf>
    <xf numFmtId="0" fontId="21" fillId="6" borderId="6" xfId="1" applyFont="1" applyFill="1" applyBorder="1" applyAlignment="1">
      <alignment horizontal="center" vertical="center" wrapText="1" shrinkToFit="1"/>
    </xf>
    <xf numFmtId="0" fontId="21" fillId="6" borderId="5" xfId="1" applyFont="1" applyFill="1" applyBorder="1" applyAlignment="1">
      <alignment horizontal="center" vertical="center" wrapText="1" shrinkToFit="1"/>
    </xf>
    <xf numFmtId="0" fontId="18" fillId="4" borderId="10" xfId="1" applyFont="1" applyFill="1" applyBorder="1" applyAlignment="1">
      <alignment horizontal="center" vertical="center" wrapText="1" shrinkToFit="1"/>
    </xf>
    <xf numFmtId="0" fontId="18" fillId="4" borderId="9" xfId="1" applyFont="1" applyFill="1" applyBorder="1" applyAlignment="1">
      <alignment horizontal="center" vertical="center" wrapText="1" shrinkToFit="1"/>
    </xf>
    <xf numFmtId="0" fontId="18" fillId="4" borderId="6" xfId="1" applyFont="1" applyFill="1" applyBorder="1" applyAlignment="1">
      <alignment horizontal="center" vertical="center" wrapText="1" shrinkToFit="1"/>
    </xf>
    <xf numFmtId="0" fontId="18" fillId="4" borderId="5" xfId="1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15" xfId="0" applyNumberFormat="1" applyFont="1" applyFill="1" applyBorder="1" applyAlignment="1">
      <alignment horizontal="center" vertical="center" textRotation="255" shrinkToFit="1"/>
    </xf>
    <xf numFmtId="0" fontId="0" fillId="0" borderId="8" xfId="0" applyBorder="1" applyAlignment="1">
      <alignment vertical="center" textRotation="255" shrinkToFit="1"/>
    </xf>
    <xf numFmtId="0" fontId="0" fillId="8" borderId="24" xfId="0" applyFill="1" applyBorder="1" applyAlignment="1">
      <alignment horizontal="center" vertical="center" shrinkToFit="1"/>
    </xf>
    <xf numFmtId="0" fontId="0" fillId="8" borderId="27" xfId="0" applyFont="1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23" fillId="8" borderId="24" xfId="0" applyFont="1" applyFill="1" applyBorder="1" applyAlignment="1">
      <alignment horizontal="center" vertical="center" shrinkToFit="1"/>
    </xf>
    <xf numFmtId="0" fontId="23" fillId="8" borderId="27" xfId="0" applyFont="1" applyFill="1" applyBorder="1" applyAlignment="1">
      <alignment horizontal="center" vertical="center" shrinkToFit="1"/>
    </xf>
    <xf numFmtId="0" fontId="1" fillId="8" borderId="27" xfId="0" applyFont="1" applyFill="1" applyBorder="1" applyAlignment="1">
      <alignment horizontal="center" vertical="center" shrinkToFit="1"/>
    </xf>
    <xf numFmtId="0" fontId="0" fillId="8" borderId="26" xfId="0" applyFont="1" applyFill="1" applyBorder="1" applyAlignment="1">
      <alignment horizontal="center" vertical="center" shrinkToFit="1"/>
    </xf>
    <xf numFmtId="0" fontId="0" fillId="8" borderId="25" xfId="0" applyFill="1" applyBorder="1" applyAlignment="1">
      <alignment horizontal="center" vertical="center" shrinkToFit="1"/>
    </xf>
    <xf numFmtId="0" fontId="0" fillId="8" borderId="25" xfId="0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0" fillId="0" borderId="7" xfId="0" applyBorder="1" applyAlignment="1">
      <alignment vertical="center" textRotation="255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0" fillId="8" borderId="24" xfId="0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horizontal="center" vertical="center" shrinkToFit="1"/>
    </xf>
    <xf numFmtId="0" fontId="23" fillId="8" borderId="26" xfId="0" applyFont="1" applyFill="1" applyBorder="1" applyAlignment="1">
      <alignment horizontal="center" vertical="center" shrinkToFit="1"/>
    </xf>
    <xf numFmtId="0" fontId="0" fillId="8" borderId="27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5" fillId="15" borderId="0" xfId="0" applyFont="1" applyFill="1" applyAlignment="1">
      <alignment horizontal="left" vertical="center" wrapText="1"/>
    </xf>
    <xf numFmtId="0" fontId="0" fillId="15" borderId="0" xfId="0" applyFont="1" applyFill="1" applyAlignment="1">
      <alignment horizontal="left" vertical="center" wrapText="1"/>
    </xf>
    <xf numFmtId="0" fontId="25" fillId="16" borderId="0" xfId="0" applyFont="1" applyFill="1" applyAlignment="1">
      <alignment horizontal="left" vertical="center" wrapText="1"/>
    </xf>
    <xf numFmtId="0" fontId="32" fillId="15" borderId="0" xfId="0" applyFont="1" applyFill="1" applyAlignment="1">
      <alignment horizontal="left" vertical="center" wrapText="1"/>
    </xf>
    <xf numFmtId="0" fontId="0" fillId="0" borderId="23" xfId="0" applyFont="1" applyBorder="1" applyAlignment="1">
      <alignment horizontal="right" vertical="center"/>
    </xf>
    <xf numFmtId="0" fontId="0" fillId="0" borderId="8" xfId="0" applyFill="1" applyBorder="1" applyAlignment="1">
      <alignment vertical="center" textRotation="255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33" fillId="8" borderId="27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34" fillId="8" borderId="24" xfId="0" applyFont="1" applyFill="1" applyBorder="1" applyAlignment="1">
      <alignment horizontal="center" vertical="center" shrinkToFit="1"/>
    </xf>
    <xf numFmtId="0" fontId="34" fillId="8" borderId="27" xfId="0" applyFont="1" applyFill="1" applyBorder="1" applyAlignment="1">
      <alignment horizontal="center" vertical="center" shrinkToFit="1"/>
    </xf>
    <xf numFmtId="0" fontId="1" fillId="8" borderId="25" xfId="0" applyFont="1" applyFill="1" applyBorder="1" applyAlignment="1">
      <alignment horizontal="center" vertical="center" shrinkToFit="1"/>
    </xf>
  </cellXfs>
  <cellStyles count="10">
    <cellStyle name="一般" xfId="0" builtinId="0"/>
    <cellStyle name="一般 2" xfId="2"/>
    <cellStyle name="一般 2 2" xfId="3"/>
    <cellStyle name="一般 3" xfId="6"/>
    <cellStyle name="一般 4" xfId="7"/>
    <cellStyle name="一般_東平小11月份菜單(改)" xfId="1"/>
    <cellStyle name="一般_新光國小-8.9月菜單" xfId="5"/>
    <cellStyle name="好_新平國小107年9月菜單(貝佳)" xfId="8"/>
    <cellStyle name="百分比 2" xfId="4"/>
    <cellStyle name="貨幣 2" xfId="9"/>
  </cellStyles>
  <dxfs count="0"/>
  <tableStyles count="0" defaultTableStyle="TableStyleMedium9" defaultPivotStyle="PivotStyleLight16"/>
  <colors>
    <mruColors>
      <color rgb="FFCCFFFF"/>
      <color rgb="FFFFE1FF"/>
      <color rgb="FF0000FF"/>
      <color rgb="FFFF00FF"/>
      <color rgb="FF000000"/>
      <color rgb="FF8DF8FD"/>
      <color rgb="FFFF6600"/>
      <color rgb="FF66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1.png"/><Relationship Id="rId18" Type="http://schemas.openxmlformats.org/officeDocument/2006/relationships/image" Target="../media/image15.png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12" Type="http://schemas.openxmlformats.org/officeDocument/2006/relationships/image" Target="../media/image10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20" Type="http://schemas.openxmlformats.org/officeDocument/2006/relationships/image" Target="../media/image1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9.png"/><Relationship Id="rId5" Type="http://schemas.openxmlformats.org/officeDocument/2006/relationships/image" Target="../media/image5.png"/><Relationship Id="rId15" Type="http://schemas.openxmlformats.org/officeDocument/2006/relationships/image" Target="../media/image12.gif"/><Relationship Id="rId10" Type="http://schemas.openxmlformats.org/officeDocument/2006/relationships/image" Target="../media/image8.png"/><Relationship Id="rId19" Type="http://schemas.openxmlformats.org/officeDocument/2006/relationships/image" Target="../media/image16.png"/><Relationship Id="rId4" Type="http://schemas.openxmlformats.org/officeDocument/2006/relationships/image" Target="../media/image4.jpeg"/><Relationship Id="rId9" Type="http://schemas.microsoft.com/office/2007/relationships/hdphoto" Target="../media/hdphoto2.wdp"/><Relationship Id="rId14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1</xdr:row>
      <xdr:rowOff>308610</xdr:rowOff>
    </xdr:to>
    <xdr:sp macro="" textlink="">
      <xdr:nvSpPr>
        <xdr:cNvPr id="1026" name="AutoShape 2" descr="「10月」的圖片搜尋結果"/>
        <xdr:cNvSpPr>
          <a:spLocks noChangeAspect="1" noChangeArrowheads="1"/>
        </xdr:cNvSpPr>
      </xdr:nvSpPr>
      <xdr:spPr bwMode="auto">
        <a:xfrm>
          <a:off x="10077450" y="235267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19051</xdr:colOff>
      <xdr:row>0</xdr:row>
      <xdr:rowOff>254454</xdr:rowOff>
    </xdr:from>
    <xdr:ext cx="3777342" cy="1392010"/>
    <xdr:sp macro="" textlink="">
      <xdr:nvSpPr>
        <xdr:cNvPr id="5" name="矩形 4"/>
        <xdr:cNvSpPr/>
      </xdr:nvSpPr>
      <xdr:spPr>
        <a:xfrm>
          <a:off x="19051" y="254454"/>
          <a:ext cx="3777342" cy="1392010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spAutoFit/>
        </a:bodyPr>
        <a:lstStyle/>
        <a:p>
          <a:pPr algn="l"/>
          <a:r>
            <a:rPr lang="zh-TW" altLang="en-US" sz="4400" b="0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華康超圓體(P)" pitchFamily="34" charset="-120"/>
              <a:ea typeface="華康超圓體(P)" pitchFamily="34" charset="-120"/>
            </a:rPr>
            <a:t>興大附農</a:t>
          </a:r>
        </a:p>
      </xdr:txBody>
    </xdr:sp>
    <xdr:clientData/>
  </xdr:oneCellAnchor>
  <xdr:oneCellAnchor>
    <xdr:from>
      <xdr:col>3</xdr:col>
      <xdr:colOff>938893</xdr:colOff>
      <xdr:row>0</xdr:row>
      <xdr:rowOff>476250</xdr:rowOff>
    </xdr:from>
    <xdr:ext cx="4476750" cy="1006929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xmlns="" id="{A8EEF88B-49CF-4F80-9FDF-2B3E1AF16C76}"/>
            </a:ext>
          </a:extLst>
        </xdr:cNvPr>
        <xdr:cNvSpPr/>
      </xdr:nvSpPr>
      <xdr:spPr>
        <a:xfrm>
          <a:off x="4122964" y="476250"/>
          <a:ext cx="4476750" cy="1006929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zh-TW" altLang="en-US" sz="1800" b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超圓體(P)" pitchFamily="34" charset="-120"/>
              <a:ea typeface="華康超圓體(P)" pitchFamily="34" charset="-120"/>
            </a:rPr>
            <a:t>  貝佳實業有限公司</a:t>
          </a:r>
          <a:r>
            <a:rPr lang="en-US" altLang="zh-TW" sz="1800" b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超圓體(P)" pitchFamily="34" charset="-120"/>
              <a:ea typeface="華康超圓體(P)" pitchFamily="34" charset="-120"/>
            </a:rPr>
            <a:t/>
          </a:r>
          <a:br>
            <a:rPr lang="en-US" altLang="zh-TW" sz="1800" b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超圓體(P)" pitchFamily="34" charset="-120"/>
              <a:ea typeface="華康超圓體(P)" pitchFamily="34" charset="-120"/>
            </a:rPr>
          </a:br>
          <a:r>
            <a:rPr lang="en-US" altLang="zh-TW" sz="1800" b="0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超圓體(P)" pitchFamily="34" charset="-120"/>
              <a:ea typeface="華康超圓體(P)" pitchFamily="34" charset="-120"/>
            </a:rPr>
            <a:t>109</a:t>
          </a:r>
          <a:r>
            <a:rPr lang="zh-TW" altLang="en-US" sz="1800" b="0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超圓體(P)" pitchFamily="34" charset="-120"/>
              <a:ea typeface="華康超圓體(P)" pitchFamily="34" charset="-120"/>
            </a:rPr>
            <a:t>年</a:t>
          </a:r>
          <a:r>
            <a:rPr lang="en-US" altLang="zh-TW" sz="1800" b="0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超圓體(P)" pitchFamily="34" charset="-120"/>
              <a:ea typeface="華康超圓體(P)" pitchFamily="34" charset="-120"/>
            </a:rPr>
            <a:t>7</a:t>
          </a:r>
          <a:r>
            <a:rPr lang="zh-TW" altLang="en-US" sz="1800" b="0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超圓體(P)" pitchFamily="34" charset="-120"/>
              <a:ea typeface="華康超圓體(P)" pitchFamily="34" charset="-120"/>
            </a:rPr>
            <a:t>月晚餐菜單</a:t>
          </a:r>
        </a:p>
      </xdr:txBody>
    </xdr:sp>
    <xdr:clientData/>
  </xdr:oneCellAnchor>
  <xdr:twoCellAnchor editAs="oneCell">
    <xdr:from>
      <xdr:col>6</xdr:col>
      <xdr:colOff>1377044</xdr:colOff>
      <xdr:row>0</xdr:row>
      <xdr:rowOff>469100</xdr:rowOff>
    </xdr:from>
    <xdr:to>
      <xdr:col>7</xdr:col>
      <xdr:colOff>938262</xdr:colOff>
      <xdr:row>0</xdr:row>
      <xdr:rowOff>1379765</xdr:rowOff>
    </xdr:to>
    <xdr:pic>
      <xdr:nvPicPr>
        <xdr:cNvPr id="8" name="圖片 7" descr="HACC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1" y="469100"/>
          <a:ext cx="949147" cy="910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127634</xdr:colOff>
      <xdr:row>36</xdr:row>
      <xdr:rowOff>204117</xdr:rowOff>
    </xdr:from>
    <xdr:to>
      <xdr:col>8</xdr:col>
      <xdr:colOff>544285</xdr:colOff>
      <xdr:row>36</xdr:row>
      <xdr:rowOff>1127310</xdr:rowOff>
    </xdr:to>
    <xdr:grpSp>
      <xdr:nvGrpSpPr>
        <xdr:cNvPr id="3" name="群組 2"/>
        <xdr:cNvGrpSpPr/>
      </xdr:nvGrpSpPr>
      <xdr:grpSpPr>
        <a:xfrm>
          <a:off x="127634" y="14859010"/>
          <a:ext cx="10635615" cy="923193"/>
          <a:chOff x="118110" y="11938698"/>
          <a:chExt cx="6827105" cy="628388"/>
        </a:xfrm>
      </xdr:grpSpPr>
      <xdr:sp macro="" textlink="">
        <xdr:nvSpPr>
          <xdr:cNvPr id="10" name="WordArt 2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18110" y="11951970"/>
            <a:ext cx="2083980" cy="570230"/>
          </a:xfrm>
          <a:prstGeom prst="rect">
            <a:avLst/>
          </a:prstGeom>
          <a:extLst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zh-TW" altLang="en-US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99CC"/>
                </a:solidFill>
                <a:effectLst/>
                <a:latin typeface="華康少女文字W7(P)" pitchFamily="82" charset="-120"/>
                <a:ea typeface="華康少女文字W7(P)" pitchFamily="82" charset="-120"/>
              </a:rPr>
              <a:t>有任何問題，</a:t>
            </a:r>
          </a:p>
        </xdr:txBody>
      </xdr:sp>
      <xdr:sp macro="" textlink="">
        <xdr:nvSpPr>
          <xdr:cNvPr id="11" name="WordArt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873936" y="11986994"/>
            <a:ext cx="2071279" cy="580092"/>
          </a:xfrm>
          <a:prstGeom prst="rect">
            <a:avLst/>
          </a:prstGeom>
          <a:extLst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zh-TW" altLang="en-US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99CC"/>
                </a:solidFill>
                <a:effectLst/>
                <a:latin typeface="華康少女文字W7(P)" pitchFamily="82" charset="-120"/>
                <a:ea typeface="華康少女文字W7(P)" pitchFamily="82" charset="-120"/>
              </a:rPr>
              <a:t>阿姨喔</a:t>
            </a:r>
            <a:r>
              <a:rPr lang="zh-TW" altLang="en-US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99CC"/>
                </a:solidFill>
                <a:effectLst/>
                <a:latin typeface="華康童童體"/>
              </a:rPr>
              <a:t>！</a:t>
            </a:r>
          </a:p>
        </xdr:txBody>
      </xdr:sp>
      <xdr:sp macro="" textlink="">
        <xdr:nvSpPr>
          <xdr:cNvPr id="12" name="WordArt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422733" y="12027746"/>
            <a:ext cx="676702" cy="486000"/>
          </a:xfrm>
          <a:prstGeom prst="rect">
            <a:avLst/>
          </a:prstGeom>
          <a:extLst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zh-TW" altLang="en-US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99CC"/>
                </a:solidFill>
                <a:effectLst/>
                <a:latin typeface="華康少女文字W7(P)" pitchFamily="82" charset="-120"/>
                <a:ea typeface="華康少女文字W7(P)" pitchFamily="82" charset="-120"/>
              </a:rPr>
              <a:t>請找</a:t>
            </a:r>
          </a:p>
        </xdr:txBody>
      </xdr:sp>
      <xdr:sp macro="" textlink="">
        <xdr:nvSpPr>
          <xdr:cNvPr id="13" name="WordArt 5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238979" y="11938698"/>
            <a:ext cx="1532164" cy="619125"/>
          </a:xfrm>
          <a:prstGeom prst="rect">
            <a:avLst/>
          </a:prstGeom>
          <a:extLst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zh-TW" altLang="en-US" sz="3600" kern="10" spc="0">
                <a:ln w="9525">
                  <a:solidFill>
                    <a:srgbClr val="FF00FF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華康少女文字W7(P)" pitchFamily="82" charset="-120"/>
                <a:ea typeface="華康少女文字W7(P)" pitchFamily="82" charset="-120"/>
              </a:rPr>
              <a:t>貝佳</a:t>
            </a:r>
          </a:p>
        </xdr:txBody>
      </xdr:sp>
    </xdr:grpSp>
    <xdr:clientData/>
  </xdr:twoCellAnchor>
  <xdr:twoCellAnchor>
    <xdr:from>
      <xdr:col>14</xdr:col>
      <xdr:colOff>95251</xdr:colOff>
      <xdr:row>36</xdr:row>
      <xdr:rowOff>38100</xdr:rowOff>
    </xdr:from>
    <xdr:to>
      <xdr:col>16</xdr:col>
      <xdr:colOff>381001</xdr:colOff>
      <xdr:row>37</xdr:row>
      <xdr:rowOff>45402</xdr:rowOff>
    </xdr:to>
    <xdr:grpSp>
      <xdr:nvGrpSpPr>
        <xdr:cNvPr id="14" name="群組 13"/>
        <xdr:cNvGrpSpPr/>
      </xdr:nvGrpSpPr>
      <xdr:grpSpPr>
        <a:xfrm>
          <a:off x="15294430" y="14692993"/>
          <a:ext cx="1646464" cy="1395230"/>
          <a:chOff x="13700125" y="5984875"/>
          <a:chExt cx="2391336" cy="1733566"/>
        </a:xfrm>
      </xdr:grpSpPr>
      <xdr:pic>
        <xdr:nvPicPr>
          <xdr:cNvPr id="15" name="圖片 14" descr="ãåæ¼« qãçåçæå°çµæ">
            <a:extLst>
              <a:ext uri="{FF2B5EF4-FFF2-40B4-BE49-F238E27FC236}">
                <a16:creationId xmlns:a16="http://schemas.microsoft.com/office/drawing/2014/main" xmlns="" id="{00000000-0008-0000-0000-0000D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87526" y="5984875"/>
            <a:ext cx="1603935" cy="17335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圖片 15">
            <a:extLst>
              <a:ext uri="{FF2B5EF4-FFF2-40B4-BE49-F238E27FC236}">
                <a16:creationId xmlns:a16="http://schemas.microsoft.com/office/drawing/2014/main" xmlns="" id="{00000000-0008-0000-0000-0000E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931" t="29858" r="23711" b="32561"/>
          <a:stretch/>
        </xdr:blipFill>
        <xdr:spPr>
          <a:xfrm>
            <a:off x="13700125" y="6284272"/>
            <a:ext cx="1041400" cy="936625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1128382</xdr:colOff>
      <xdr:row>0</xdr:row>
      <xdr:rowOff>341538</xdr:rowOff>
    </xdr:from>
    <xdr:to>
      <xdr:col>8</xdr:col>
      <xdr:colOff>1355926</xdr:colOff>
      <xdr:row>0</xdr:row>
      <xdr:rowOff>1524000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9418" y="341538"/>
          <a:ext cx="1615472" cy="118246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13</xdr:col>
      <xdr:colOff>662399</xdr:colOff>
      <xdr:row>12</xdr:row>
      <xdr:rowOff>283587</xdr:rowOff>
    </xdr:from>
    <xdr:to>
      <xdr:col>15</xdr:col>
      <xdr:colOff>0</xdr:colOff>
      <xdr:row>15</xdr:row>
      <xdr:rowOff>27215</xdr:rowOff>
    </xdr:to>
    <xdr:pic>
      <xdr:nvPicPr>
        <xdr:cNvPr id="2" name="圖片 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21" t="7440" r="18898" b="5655"/>
        <a:stretch/>
      </xdr:blipFill>
      <xdr:spPr>
        <a:xfrm>
          <a:off x="14800220" y="5222980"/>
          <a:ext cx="698316" cy="818592"/>
        </a:xfrm>
        <a:prstGeom prst="rect">
          <a:avLst/>
        </a:prstGeom>
      </xdr:spPr>
    </xdr:pic>
    <xdr:clientData/>
  </xdr:twoCellAnchor>
  <xdr:twoCellAnchor editAs="oneCell">
    <xdr:from>
      <xdr:col>4</xdr:col>
      <xdr:colOff>963387</xdr:colOff>
      <xdr:row>26</xdr:row>
      <xdr:rowOff>258465</xdr:rowOff>
    </xdr:from>
    <xdr:to>
      <xdr:col>6</xdr:col>
      <xdr:colOff>1020536</xdr:colOff>
      <xdr:row>33</xdr:row>
      <xdr:rowOff>174169</xdr:rowOff>
    </xdr:to>
    <xdr:pic>
      <xdr:nvPicPr>
        <xdr:cNvPr id="17" name="圖片 16" descr="「蜜桃貓」的圖片搜尋結果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4297" b="97266" l="9961" r="8984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387" y="11076144"/>
          <a:ext cx="2928256" cy="2977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794658</xdr:colOff>
      <xdr:row>32</xdr:row>
      <xdr:rowOff>28577</xdr:rowOff>
    </xdr:from>
    <xdr:to>
      <xdr:col>3</xdr:col>
      <xdr:colOff>356508</xdr:colOff>
      <xdr:row>36</xdr:row>
      <xdr:rowOff>8165</xdr:rowOff>
    </xdr:to>
    <xdr:pic>
      <xdr:nvPicPr>
        <xdr:cNvPr id="18" name="圖片 17" descr="「蜜桃貓」的圖片搜尋結果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778" b="96889" l="0" r="89778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11771541"/>
          <a:ext cx="1045028" cy="105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6</xdr:row>
      <xdr:rowOff>304800</xdr:rowOff>
    </xdr:to>
    <xdr:sp macro="" textlink="">
      <xdr:nvSpPr>
        <xdr:cNvPr id="1027" name="AutoShape 3" descr="「蜜桃貓」的圖片搜尋結果"/>
        <xdr:cNvSpPr>
          <a:spLocks noChangeAspect="1" noChangeArrowheads="1"/>
        </xdr:cNvSpPr>
      </xdr:nvSpPr>
      <xdr:spPr bwMode="auto">
        <a:xfrm>
          <a:off x="12734925" y="288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304800</xdr:colOff>
      <xdr:row>33</xdr:row>
      <xdr:rowOff>9525</xdr:rowOff>
    </xdr:to>
    <xdr:sp macro="" textlink="">
      <xdr:nvSpPr>
        <xdr:cNvPr id="1028" name="AutoShape 4" descr="「蜜桃貓」的圖片搜尋結果"/>
        <xdr:cNvSpPr>
          <a:spLocks noChangeAspect="1" noChangeArrowheads="1"/>
        </xdr:cNvSpPr>
      </xdr:nvSpPr>
      <xdr:spPr bwMode="auto">
        <a:xfrm>
          <a:off x="13420725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297996</xdr:colOff>
      <xdr:row>8</xdr:row>
      <xdr:rowOff>46265</xdr:rowOff>
    </xdr:from>
    <xdr:to>
      <xdr:col>4</xdr:col>
      <xdr:colOff>1224643</xdr:colOff>
      <xdr:row>10</xdr:row>
      <xdr:rowOff>246290</xdr:rowOff>
    </xdr:to>
    <xdr:pic>
      <xdr:nvPicPr>
        <xdr:cNvPr id="30" name="圖片 29" descr="「透明背景煙火」的圖片搜尋結果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40" b="54297"/>
        <a:stretch/>
      </xdr:blipFill>
      <xdr:spPr bwMode="auto">
        <a:xfrm>
          <a:off x="4774746" y="4182836"/>
          <a:ext cx="926647" cy="825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304800</xdr:colOff>
      <xdr:row>36</xdr:row>
      <xdr:rowOff>304800</xdr:rowOff>
    </xdr:to>
    <xdr:sp macro="" textlink="">
      <xdr:nvSpPr>
        <xdr:cNvPr id="1029" name="AutoShape 5" descr="「蜜桃貓」的圖片搜尋結果"/>
        <xdr:cNvSpPr>
          <a:spLocks noChangeAspect="1" noChangeArrowheads="1"/>
        </xdr:cNvSpPr>
      </xdr:nvSpPr>
      <xdr:spPr bwMode="auto">
        <a:xfrm>
          <a:off x="12734925" y="1324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544288</xdr:colOff>
      <xdr:row>2</xdr:row>
      <xdr:rowOff>271171</xdr:rowOff>
    </xdr:from>
    <xdr:to>
      <xdr:col>1</xdr:col>
      <xdr:colOff>1284516</xdr:colOff>
      <xdr:row>4</xdr:row>
      <xdr:rowOff>10885</xdr:rowOff>
    </xdr:to>
    <xdr:pic>
      <xdr:nvPicPr>
        <xdr:cNvPr id="29" name="圖片 28" descr="「透明背景煙火」的圖片搜尋結果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69" r="34234"/>
        <a:stretch/>
      </xdr:blipFill>
      <xdr:spPr bwMode="auto">
        <a:xfrm>
          <a:off x="857252" y="2040100"/>
          <a:ext cx="740228" cy="84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200025</xdr:colOff>
      <xdr:row>28</xdr:row>
      <xdr:rowOff>421822</xdr:rowOff>
    </xdr:from>
    <xdr:to>
      <xdr:col>24</xdr:col>
      <xdr:colOff>36739</xdr:colOff>
      <xdr:row>31</xdr:row>
      <xdr:rowOff>251733</xdr:rowOff>
    </xdr:to>
    <xdr:pic>
      <xdr:nvPicPr>
        <xdr:cNvPr id="28" name="圖片 27" descr="蜜桃貓和小伙伴2 – LINE貼圖| LINE STORE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1061" y="10722429"/>
          <a:ext cx="1197428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202748</xdr:colOff>
      <xdr:row>36</xdr:row>
      <xdr:rowOff>0</xdr:rowOff>
    </xdr:from>
    <xdr:to>
      <xdr:col>14</xdr:col>
      <xdr:colOff>246290</xdr:colOff>
      <xdr:row>36</xdr:row>
      <xdr:rowOff>730703</xdr:rowOff>
    </xdr:to>
    <xdr:pic>
      <xdr:nvPicPr>
        <xdr:cNvPr id="43" name="圖片 42" descr="蜜桃猫抱抱头像- 第2页- 可爱女生头像！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ackgroundRemoval t="9778" b="89778" l="2222" r="9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0569" y="12650560"/>
          <a:ext cx="723900" cy="7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73478</xdr:colOff>
      <xdr:row>12</xdr:row>
      <xdr:rowOff>299188</xdr:rowOff>
    </xdr:from>
    <xdr:to>
      <xdr:col>12</xdr:col>
      <xdr:colOff>352424</xdr:colOff>
      <xdr:row>15</xdr:row>
      <xdr:rowOff>13607</xdr:rowOff>
    </xdr:to>
    <xdr:pic>
      <xdr:nvPicPr>
        <xdr:cNvPr id="45" name="圖片 44" descr="蜜桃猫动态表情包图片_3d图库发布网www.tqhnet.com"/>
        <xdr:cNvPicPr>
          <a:picLocks noChangeAspect="1" noChangeArrowheads="1" noCrop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0585" y="5238581"/>
          <a:ext cx="959303" cy="789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892627</xdr:colOff>
      <xdr:row>21</xdr:row>
      <xdr:rowOff>145543</xdr:rowOff>
    </xdr:from>
    <xdr:to>
      <xdr:col>7</xdr:col>
      <xdr:colOff>340176</xdr:colOff>
      <xdr:row>24</xdr:row>
      <xdr:rowOff>119741</xdr:rowOff>
    </xdr:to>
    <xdr:pic>
      <xdr:nvPicPr>
        <xdr:cNvPr id="51" name="圖片 50" descr="蜜桃貓2 | 光頭賣- 最大的LINE貼圖代購網| 全館通通降五元VIP儲值300送4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8" t="11013" r="15822"/>
        <a:stretch/>
      </xdr:blipFill>
      <xdr:spPr bwMode="auto">
        <a:xfrm>
          <a:off x="8145234" y="8105722"/>
          <a:ext cx="835478" cy="913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590550</xdr:colOff>
      <xdr:row>13</xdr:row>
      <xdr:rowOff>314325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12639675" y="541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>
    <xdr:from>
      <xdr:col>13</xdr:col>
      <xdr:colOff>2723</xdr:colOff>
      <xdr:row>9</xdr:row>
      <xdr:rowOff>46265</xdr:rowOff>
    </xdr:from>
    <xdr:to>
      <xdr:col>15</xdr:col>
      <xdr:colOff>312964</xdr:colOff>
      <xdr:row>12</xdr:row>
      <xdr:rowOff>119743</xdr:rowOff>
    </xdr:to>
    <xdr:grpSp>
      <xdr:nvGrpSpPr>
        <xdr:cNvPr id="31" name="群組 30"/>
        <xdr:cNvGrpSpPr/>
      </xdr:nvGrpSpPr>
      <xdr:grpSpPr>
        <a:xfrm>
          <a:off x="14521544" y="5407479"/>
          <a:ext cx="1670956" cy="876300"/>
          <a:chOff x="11953876" y="5095875"/>
          <a:chExt cx="1638299" cy="895350"/>
        </a:xfrm>
      </xdr:grpSpPr>
      <xdr:sp macro="" textlink="">
        <xdr:nvSpPr>
          <xdr:cNvPr id="19" name="爆炸 1 18"/>
          <xdr:cNvSpPr/>
        </xdr:nvSpPr>
        <xdr:spPr>
          <a:xfrm>
            <a:off x="11953876" y="5095875"/>
            <a:ext cx="1638299" cy="895350"/>
          </a:xfrm>
          <a:prstGeom prst="irregularSeal1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39" name="矩形 38">
            <a:extLst>
              <a:ext uri="{FF2B5EF4-FFF2-40B4-BE49-F238E27FC236}">
                <a16:creationId xmlns="" xmlns:a16="http://schemas.microsoft.com/office/drawing/2014/main" id="{00000000-0008-0000-0100-00007A010000}"/>
              </a:ext>
            </a:extLst>
          </xdr:cNvPr>
          <xdr:cNvSpPr/>
        </xdr:nvSpPr>
        <xdr:spPr>
          <a:xfrm>
            <a:off x="12204689" y="5309980"/>
            <a:ext cx="1174027" cy="360086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spAutoFit/>
          </a:bodyPr>
          <a:lstStyle/>
          <a:p>
            <a:pPr algn="ctr"/>
            <a:r>
              <a:rPr lang="zh-TW" altLang="en-US" sz="1400" b="0" cap="none" spc="0">
                <a:ln w="12700">
                  <a:solidFill>
                    <a:srgbClr val="00B0F0"/>
                  </a:solidFill>
                  <a:prstDash val="solid"/>
                </a:ln>
                <a:solidFill>
                  <a:srgbClr val="FF00FF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華康海報體W12(P)" panose="040B0C00000000000000" pitchFamily="82" charset="-120"/>
                <a:ea typeface="華康海報體W12(P)" panose="040B0C00000000000000" pitchFamily="82" charset="-120"/>
              </a:rPr>
              <a:t>慶生餐會</a:t>
            </a:r>
            <a:endParaRPr lang="en-US" altLang="zh-TW" sz="1400" b="0" cap="none" spc="0">
              <a:ln w="12700">
                <a:solidFill>
                  <a:srgbClr val="00B0F0"/>
                </a:solidFill>
                <a:prstDash val="solid"/>
              </a:ln>
              <a:solidFill>
                <a:srgbClr val="FF00FF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華康海報體W12(P)" panose="040B0C00000000000000" pitchFamily="82" charset="-120"/>
              <a:ea typeface="華康海報體W12(P)" panose="040B0C00000000000000" pitchFamily="82" charset="-120"/>
            </a:endParaRPr>
          </a:p>
        </xdr:txBody>
      </xdr:sp>
    </xdr:grpSp>
    <xdr:clientData/>
  </xdr:twoCellAnchor>
  <xdr:twoCellAnchor editAs="oneCell">
    <xdr:from>
      <xdr:col>10</xdr:col>
      <xdr:colOff>530678</xdr:colOff>
      <xdr:row>36</xdr:row>
      <xdr:rowOff>0</xdr:rowOff>
    </xdr:from>
    <xdr:to>
      <xdr:col>11</xdr:col>
      <xdr:colOff>488496</xdr:colOff>
      <xdr:row>36</xdr:row>
      <xdr:rowOff>644978</xdr:rowOff>
    </xdr:to>
    <xdr:pic>
      <xdr:nvPicPr>
        <xdr:cNvPr id="41" name="圖片 40" descr="https://o.remove.bg/downloads/0ee03f51-c668-4330-b67f-3a13f6bedc8d/image-removebg-preview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7428" y="12477749"/>
          <a:ext cx="638175" cy="644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1088572</xdr:colOff>
      <xdr:row>3</xdr:row>
      <xdr:rowOff>695724</xdr:rowOff>
    </xdr:from>
    <xdr:to>
      <xdr:col>4</xdr:col>
      <xdr:colOff>163285</xdr:colOff>
      <xdr:row>11</xdr:row>
      <xdr:rowOff>14012</xdr:rowOff>
    </xdr:to>
    <xdr:pic>
      <xdr:nvPicPr>
        <xdr:cNvPr id="20" name="圖片 19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75"/>
        <a:stretch/>
      </xdr:blipFill>
      <xdr:spPr>
        <a:xfrm>
          <a:off x="1401536" y="3281081"/>
          <a:ext cx="3333749" cy="272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163527</xdr:colOff>
      <xdr:row>4</xdr:row>
      <xdr:rowOff>231321</xdr:rowOff>
    </xdr:from>
    <xdr:to>
      <xdr:col>2</xdr:col>
      <xdr:colOff>898310</xdr:colOff>
      <xdr:row>5</xdr:row>
      <xdr:rowOff>15012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826181">
          <a:off x="1864420" y="2884714"/>
          <a:ext cx="734783" cy="545691"/>
        </a:xfrm>
        <a:prstGeom prst="rect">
          <a:avLst/>
        </a:prstGeom>
      </xdr:spPr>
    </xdr:pic>
    <xdr:clientData/>
  </xdr:twoCellAnchor>
  <xdr:twoCellAnchor editAs="oneCell">
    <xdr:from>
      <xdr:col>6</xdr:col>
      <xdr:colOff>478966</xdr:colOff>
      <xdr:row>27</xdr:row>
      <xdr:rowOff>489858</xdr:rowOff>
    </xdr:from>
    <xdr:to>
      <xdr:col>8</xdr:col>
      <xdr:colOff>1205594</xdr:colOff>
      <xdr:row>30</xdr:row>
      <xdr:rowOff>287111</xdr:rowOff>
    </xdr:to>
    <xdr:pic>
      <xdr:nvPicPr>
        <xdr:cNvPr id="34" name="圖片 166" descr="2020暑假到了的心情说说，关于放暑假的心情搞笑说说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1573" y="10246179"/>
          <a:ext cx="3502485" cy="162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1197435</xdr:colOff>
      <xdr:row>33</xdr:row>
      <xdr:rowOff>182823</xdr:rowOff>
    </xdr:from>
    <xdr:to>
      <xdr:col>7</xdr:col>
      <xdr:colOff>176894</xdr:colOff>
      <xdr:row>34</xdr:row>
      <xdr:rowOff>205466</xdr:rowOff>
    </xdr:to>
    <xdr:sp macro="" textlink="">
      <xdr:nvSpPr>
        <xdr:cNvPr id="35" name="心形 34"/>
        <xdr:cNvSpPr/>
      </xdr:nvSpPr>
      <xdr:spPr>
        <a:xfrm>
          <a:off x="8450042" y="12225144"/>
          <a:ext cx="367388" cy="322001"/>
        </a:xfrm>
        <a:prstGeom prst="heart">
          <a:avLst/>
        </a:prstGeom>
        <a:solidFill>
          <a:srgbClr val="FFCCFF"/>
        </a:solidFill>
        <a:ln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8</xdr:col>
      <xdr:colOff>196537</xdr:colOff>
      <xdr:row>33</xdr:row>
      <xdr:rowOff>104720</xdr:rowOff>
    </xdr:from>
    <xdr:to>
      <xdr:col>8</xdr:col>
      <xdr:colOff>435430</xdr:colOff>
      <xdr:row>34</xdr:row>
      <xdr:rowOff>36740</xdr:rowOff>
    </xdr:to>
    <xdr:sp macro="" textlink="">
      <xdr:nvSpPr>
        <xdr:cNvPr id="36" name="心形 35"/>
        <xdr:cNvSpPr/>
      </xdr:nvSpPr>
      <xdr:spPr>
        <a:xfrm>
          <a:off x="10225001" y="12147041"/>
          <a:ext cx="238893" cy="231378"/>
        </a:xfrm>
        <a:prstGeom prst="hear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5</xdr:col>
      <xdr:colOff>1235536</xdr:colOff>
      <xdr:row>27</xdr:row>
      <xdr:rowOff>294401</xdr:rowOff>
    </xdr:from>
    <xdr:to>
      <xdr:col>6</xdr:col>
      <xdr:colOff>214996</xdr:colOff>
      <xdr:row>28</xdr:row>
      <xdr:rowOff>72116</xdr:rowOff>
    </xdr:to>
    <xdr:sp macro="" textlink="">
      <xdr:nvSpPr>
        <xdr:cNvPr id="37" name="心形 36"/>
        <xdr:cNvSpPr/>
      </xdr:nvSpPr>
      <xdr:spPr>
        <a:xfrm>
          <a:off x="7100215" y="10050722"/>
          <a:ext cx="367388" cy="322001"/>
        </a:xfrm>
        <a:prstGeom prst="hear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5</xdr:col>
      <xdr:colOff>460514</xdr:colOff>
      <xdr:row>34</xdr:row>
      <xdr:rowOff>178198</xdr:rowOff>
    </xdr:from>
    <xdr:to>
      <xdr:col>5</xdr:col>
      <xdr:colOff>699407</xdr:colOff>
      <xdr:row>35</xdr:row>
      <xdr:rowOff>110219</xdr:rowOff>
    </xdr:to>
    <xdr:sp macro="" textlink="">
      <xdr:nvSpPr>
        <xdr:cNvPr id="38" name="心形 37"/>
        <xdr:cNvSpPr/>
      </xdr:nvSpPr>
      <xdr:spPr>
        <a:xfrm>
          <a:off x="6325193" y="12519877"/>
          <a:ext cx="238893" cy="231378"/>
        </a:xfrm>
        <a:prstGeom prst="hear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8</xdr:col>
      <xdr:colOff>218307</xdr:colOff>
      <xdr:row>27</xdr:row>
      <xdr:rowOff>289776</xdr:rowOff>
    </xdr:from>
    <xdr:to>
      <xdr:col>8</xdr:col>
      <xdr:colOff>457200</xdr:colOff>
      <xdr:row>27</xdr:row>
      <xdr:rowOff>521154</xdr:rowOff>
    </xdr:to>
    <xdr:sp macro="" textlink="">
      <xdr:nvSpPr>
        <xdr:cNvPr id="40" name="心形 39"/>
        <xdr:cNvSpPr/>
      </xdr:nvSpPr>
      <xdr:spPr>
        <a:xfrm>
          <a:off x="10246771" y="10046097"/>
          <a:ext cx="238893" cy="231378"/>
        </a:xfrm>
        <a:prstGeom prst="heart">
          <a:avLst/>
        </a:prstGeom>
        <a:solidFill>
          <a:srgbClr val="FFCCFF"/>
        </a:solidFill>
        <a:ln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70" zoomScaleNormal="70" zoomScaleSheetLayoutView="70" workbookViewId="0">
      <selection activeCell="M28" sqref="M28"/>
    </sheetView>
  </sheetViews>
  <sheetFormatPr defaultRowHeight="16.5" x14ac:dyDescent="0.25"/>
  <cols>
    <col min="1" max="1" width="4.125" style="4" customWidth="1"/>
    <col min="2" max="2" width="18.125" style="4" customWidth="1"/>
    <col min="3" max="3" width="19.5" style="4" customWidth="1"/>
    <col min="4" max="4" width="18.125" style="4" customWidth="1"/>
    <col min="5" max="5" width="19.5" style="4" customWidth="1"/>
    <col min="6" max="8" width="18.125" style="4" customWidth="1"/>
    <col min="9" max="9" width="20.625" style="4" customWidth="1"/>
  </cols>
  <sheetData>
    <row r="1" spans="1:16" ht="150" customHeight="1" thickTop="1" thickBot="1" x14ac:dyDescent="0.5">
      <c r="A1" s="174"/>
      <c r="B1" s="175"/>
      <c r="C1" s="175"/>
      <c r="D1" s="175"/>
      <c r="E1" s="175"/>
      <c r="F1" s="175"/>
      <c r="G1" s="175"/>
      <c r="H1" s="175"/>
      <c r="I1" s="176"/>
    </row>
    <row r="2" spans="1:16" s="15" customFormat="1" ht="27" customHeight="1" x14ac:dyDescent="0.25">
      <c r="A2" s="180" t="s">
        <v>12</v>
      </c>
      <c r="B2" s="7">
        <v>44011</v>
      </c>
      <c r="C2" s="8" t="s">
        <v>3</v>
      </c>
      <c r="D2" s="9">
        <f>B2+1</f>
        <v>44012</v>
      </c>
      <c r="E2" s="8" t="s">
        <v>4</v>
      </c>
      <c r="F2" s="9">
        <f>D2+1</f>
        <v>44013</v>
      </c>
      <c r="G2" s="8" t="s">
        <v>5</v>
      </c>
      <c r="H2" s="9">
        <f>F2+1</f>
        <v>44014</v>
      </c>
      <c r="I2" s="8" t="s">
        <v>6</v>
      </c>
    </row>
    <row r="3" spans="1:16" s="1" customFormat="1" ht="26.25" customHeight="1" x14ac:dyDescent="0.25">
      <c r="A3" s="181"/>
      <c r="B3" s="183"/>
      <c r="C3" s="184"/>
      <c r="D3" s="184"/>
      <c r="E3" s="185"/>
      <c r="F3" s="186" t="s">
        <v>7</v>
      </c>
      <c r="G3" s="187"/>
      <c r="H3" s="188" t="s">
        <v>15</v>
      </c>
      <c r="I3" s="189"/>
    </row>
    <row r="4" spans="1:16" s="1" customFormat="1" ht="60" customHeight="1" x14ac:dyDescent="0.25">
      <c r="A4" s="181"/>
      <c r="B4" s="190"/>
      <c r="C4" s="191"/>
      <c r="D4" s="193"/>
      <c r="E4" s="194"/>
      <c r="F4" s="196" t="s">
        <v>50</v>
      </c>
      <c r="G4" s="197"/>
      <c r="H4" s="200" t="s">
        <v>34</v>
      </c>
      <c r="I4" s="201"/>
    </row>
    <row r="5" spans="1:16" s="1" customFormat="1" ht="60" customHeight="1" x14ac:dyDescent="0.25">
      <c r="A5" s="181"/>
      <c r="B5" s="192"/>
      <c r="C5" s="191"/>
      <c r="D5" s="195"/>
      <c r="E5" s="194"/>
      <c r="F5" s="198"/>
      <c r="G5" s="199"/>
      <c r="H5" s="202"/>
      <c r="I5" s="203"/>
    </row>
    <row r="6" spans="1:16" s="1" customFormat="1" ht="24.75" customHeight="1" x14ac:dyDescent="0.25">
      <c r="A6" s="181"/>
      <c r="B6" s="177"/>
      <c r="C6" s="178"/>
      <c r="D6" s="178"/>
      <c r="E6" s="179"/>
      <c r="F6" s="177" t="s">
        <v>33</v>
      </c>
      <c r="G6" s="179"/>
      <c r="H6" s="177" t="s">
        <v>42</v>
      </c>
      <c r="I6" s="179"/>
    </row>
    <row r="7" spans="1:16" s="1" customFormat="1" ht="24.75" customHeight="1" x14ac:dyDescent="0.25">
      <c r="A7" s="181"/>
      <c r="B7" s="177"/>
      <c r="C7" s="178"/>
      <c r="D7" s="178"/>
      <c r="E7" s="179"/>
      <c r="F7" s="177"/>
      <c r="G7" s="179"/>
      <c r="H7" s="177"/>
      <c r="I7" s="179"/>
      <c r="L7"/>
    </row>
    <row r="8" spans="1:16" s="1" customFormat="1" ht="24.75" customHeight="1" x14ac:dyDescent="0.25">
      <c r="A8" s="181"/>
      <c r="B8" s="177"/>
      <c r="C8" s="178"/>
      <c r="D8" s="178"/>
      <c r="E8" s="179"/>
      <c r="F8" s="177" t="s">
        <v>25</v>
      </c>
      <c r="G8" s="179"/>
      <c r="H8" s="177" t="s">
        <v>16</v>
      </c>
      <c r="I8" s="179"/>
    </row>
    <row r="9" spans="1:16" s="1" customFormat="1" ht="24.75" customHeight="1" x14ac:dyDescent="0.25">
      <c r="A9" s="181"/>
      <c r="B9" s="18"/>
      <c r="C9" s="20"/>
      <c r="D9" s="20"/>
      <c r="E9" s="19"/>
      <c r="F9" s="177"/>
      <c r="G9" s="179"/>
      <c r="H9" s="177"/>
      <c r="I9" s="179"/>
    </row>
    <row r="10" spans="1:16" s="1" customFormat="1" ht="24.75" customHeight="1" x14ac:dyDescent="0.25">
      <c r="A10" s="181"/>
      <c r="B10" s="208"/>
      <c r="C10" s="209"/>
      <c r="D10" s="209"/>
      <c r="E10" s="218"/>
      <c r="F10" s="208" t="s">
        <v>10</v>
      </c>
      <c r="G10" s="218"/>
      <c r="H10" s="208" t="s">
        <v>11</v>
      </c>
      <c r="I10" s="218"/>
    </row>
    <row r="11" spans="1:16" s="1" customFormat="1" ht="24.75" customHeight="1" thickBot="1" x14ac:dyDescent="0.3">
      <c r="A11" s="182"/>
      <c r="B11" s="177"/>
      <c r="C11" s="178"/>
      <c r="D11" s="178"/>
      <c r="E11" s="179"/>
      <c r="F11" s="211" t="s">
        <v>27</v>
      </c>
      <c r="G11" s="212"/>
      <c r="H11" s="211" t="s">
        <v>17</v>
      </c>
      <c r="I11" s="212"/>
      <c r="P11" s="17"/>
    </row>
    <row r="12" spans="1:16" ht="13.9" customHeight="1" thickBot="1" x14ac:dyDescent="0.3">
      <c r="A12" s="2" t="s">
        <v>0</v>
      </c>
      <c r="B12" s="213"/>
      <c r="C12" s="214"/>
      <c r="D12" s="214"/>
      <c r="E12" s="215"/>
      <c r="F12" s="216">
        <f>'7月明細(晚餐) '!W26</f>
        <v>866.08311688311676</v>
      </c>
      <c r="G12" s="217"/>
      <c r="H12" s="216">
        <f>'7月明細(晚餐) '!W34</f>
        <v>866.19285714285718</v>
      </c>
      <c r="I12" s="217"/>
    </row>
    <row r="13" spans="1:16" s="13" customFormat="1" ht="27" customHeight="1" x14ac:dyDescent="0.25">
      <c r="A13" s="180" t="s">
        <v>13</v>
      </c>
      <c r="B13" s="10">
        <f>B2+7</f>
        <v>44018</v>
      </c>
      <c r="C13" s="11" t="s">
        <v>3</v>
      </c>
      <c r="D13" s="12">
        <f>B13+1</f>
        <v>44019</v>
      </c>
      <c r="E13" s="11" t="s">
        <v>4</v>
      </c>
      <c r="F13" s="12">
        <f>B13+2</f>
        <v>44020</v>
      </c>
      <c r="G13" s="11" t="s">
        <v>5</v>
      </c>
      <c r="H13" s="12">
        <f>B13+3</f>
        <v>44021</v>
      </c>
      <c r="I13" s="16" t="s">
        <v>6</v>
      </c>
    </row>
    <row r="14" spans="1:16" ht="26.25" customHeight="1" x14ac:dyDescent="0.25">
      <c r="A14" s="181"/>
      <c r="B14" s="210" t="s">
        <v>7</v>
      </c>
      <c r="C14" s="187"/>
      <c r="D14" s="210" t="s">
        <v>2</v>
      </c>
      <c r="E14" s="187"/>
      <c r="F14" s="210" t="s">
        <v>7</v>
      </c>
      <c r="G14" s="187"/>
      <c r="H14" s="188" t="s">
        <v>18</v>
      </c>
      <c r="I14" s="189"/>
    </row>
    <row r="15" spans="1:16" ht="32.1" customHeight="1" x14ac:dyDescent="0.25">
      <c r="A15" s="181"/>
      <c r="B15" s="204" t="s">
        <v>35</v>
      </c>
      <c r="C15" s="205"/>
      <c r="D15" s="200" t="s">
        <v>19</v>
      </c>
      <c r="E15" s="219"/>
      <c r="F15" s="222" t="s">
        <v>46</v>
      </c>
      <c r="G15" s="223"/>
      <c r="H15" s="200" t="s">
        <v>49</v>
      </c>
      <c r="I15" s="219"/>
    </row>
    <row r="16" spans="1:16" ht="32.1" customHeight="1" x14ac:dyDescent="0.25">
      <c r="A16" s="181"/>
      <c r="B16" s="206"/>
      <c r="C16" s="207"/>
      <c r="D16" s="220"/>
      <c r="E16" s="221"/>
      <c r="F16" s="224"/>
      <c r="G16" s="225"/>
      <c r="H16" s="220"/>
      <c r="I16" s="221"/>
    </row>
    <row r="17" spans="1:12" ht="32.1" customHeight="1" x14ac:dyDescent="0.25">
      <c r="A17" s="181"/>
      <c r="B17" s="206"/>
      <c r="C17" s="207"/>
      <c r="D17" s="220"/>
      <c r="E17" s="221"/>
      <c r="F17" s="224"/>
      <c r="G17" s="225"/>
      <c r="H17" s="220"/>
      <c r="I17" s="221"/>
      <c r="L17" s="6"/>
    </row>
    <row r="18" spans="1:12" ht="32.1" customHeight="1" x14ac:dyDescent="0.25">
      <c r="A18" s="181"/>
      <c r="B18" s="206"/>
      <c r="C18" s="207"/>
      <c r="D18" s="220"/>
      <c r="E18" s="221"/>
      <c r="F18" s="224"/>
      <c r="G18" s="225"/>
      <c r="H18" s="220"/>
      <c r="I18" s="221"/>
    </row>
    <row r="19" spans="1:12" ht="24.75" customHeight="1" x14ac:dyDescent="0.25">
      <c r="A19" s="181"/>
      <c r="B19" s="177" t="s">
        <v>36</v>
      </c>
      <c r="C19" s="179"/>
      <c r="D19" s="177" t="s">
        <v>39</v>
      </c>
      <c r="E19" s="179"/>
      <c r="F19" s="177" t="s">
        <v>40</v>
      </c>
      <c r="G19" s="179"/>
      <c r="H19" s="177" t="s">
        <v>43</v>
      </c>
      <c r="I19" s="179"/>
    </row>
    <row r="20" spans="1:12" ht="24.75" customHeight="1" x14ac:dyDescent="0.25">
      <c r="A20" s="181"/>
      <c r="B20" s="177"/>
      <c r="C20" s="179"/>
      <c r="D20" s="177"/>
      <c r="E20" s="179"/>
      <c r="F20" s="177"/>
      <c r="G20" s="179"/>
      <c r="H20" s="177"/>
      <c r="I20" s="179"/>
    </row>
    <row r="21" spans="1:12" ht="24.75" customHeight="1" x14ac:dyDescent="0.25">
      <c r="A21" s="181"/>
      <c r="B21" s="177" t="s">
        <v>37</v>
      </c>
      <c r="C21" s="179"/>
      <c r="D21" s="177" t="s">
        <v>24</v>
      </c>
      <c r="E21" s="179"/>
      <c r="F21" s="177" t="s">
        <v>41</v>
      </c>
      <c r="G21" s="179"/>
      <c r="H21" s="177" t="s">
        <v>44</v>
      </c>
      <c r="I21" s="179"/>
    </row>
    <row r="22" spans="1:12" ht="24.75" customHeight="1" x14ac:dyDescent="0.25">
      <c r="A22" s="181"/>
      <c r="B22" s="177" t="s">
        <v>38</v>
      </c>
      <c r="C22" s="179"/>
      <c r="D22" s="177"/>
      <c r="E22" s="179"/>
      <c r="F22" s="177"/>
      <c r="G22" s="179"/>
      <c r="H22" s="177"/>
      <c r="I22" s="179"/>
    </row>
    <row r="23" spans="1:12" ht="24.75" customHeight="1" x14ac:dyDescent="0.25">
      <c r="A23" s="181"/>
      <c r="B23" s="208" t="s">
        <v>8</v>
      </c>
      <c r="C23" s="218"/>
      <c r="D23" s="208" t="s">
        <v>9</v>
      </c>
      <c r="E23" s="218"/>
      <c r="F23" s="208" t="s">
        <v>10</v>
      </c>
      <c r="G23" s="218"/>
      <c r="H23" s="208" t="s">
        <v>11</v>
      </c>
      <c r="I23" s="218"/>
    </row>
    <row r="24" spans="1:12" ht="24.75" customHeight="1" thickBot="1" x14ac:dyDescent="0.3">
      <c r="A24" s="182"/>
      <c r="B24" s="211" t="s">
        <v>28</v>
      </c>
      <c r="C24" s="212"/>
      <c r="D24" s="211" t="s">
        <v>31</v>
      </c>
      <c r="E24" s="212"/>
      <c r="F24" s="211" t="s">
        <v>29</v>
      </c>
      <c r="G24" s="212"/>
      <c r="H24" s="211" t="s">
        <v>21</v>
      </c>
      <c r="I24" s="212"/>
    </row>
    <row r="25" spans="1:12" ht="13.9" customHeight="1" thickBot="1" x14ac:dyDescent="0.3">
      <c r="A25" s="2" t="s">
        <v>0</v>
      </c>
      <c r="B25" s="216">
        <f>'7月明細(晚餐) '!W49</f>
        <v>861.97164502164492</v>
      </c>
      <c r="C25" s="217"/>
      <c r="D25" s="216">
        <f>'7月明細(晚餐) '!W57</f>
        <v>874.9448701298702</v>
      </c>
      <c r="E25" s="217"/>
      <c r="F25" s="216">
        <f>'7月明細(晚餐) '!W65</f>
        <v>872.82404761904763</v>
      </c>
      <c r="G25" s="217"/>
      <c r="H25" s="216">
        <f>'7月明細(晚餐) '!W73</f>
        <v>859.87307359307351</v>
      </c>
      <c r="I25" s="217"/>
    </row>
    <row r="26" spans="1:12" s="14" customFormat="1" ht="27" customHeight="1" x14ac:dyDescent="0.25">
      <c r="A26" s="180" t="s">
        <v>14</v>
      </c>
      <c r="B26" s="7">
        <f>B13+7</f>
        <v>44025</v>
      </c>
      <c r="C26" s="8" t="s">
        <v>3</v>
      </c>
      <c r="D26" s="9">
        <f>B26+1</f>
        <v>44026</v>
      </c>
      <c r="E26" s="8" t="s">
        <v>4</v>
      </c>
      <c r="F26" s="9">
        <f>B26+2</f>
        <v>44027</v>
      </c>
      <c r="G26" s="8" t="s">
        <v>5</v>
      </c>
      <c r="H26" s="9">
        <f>B26+3</f>
        <v>44028</v>
      </c>
      <c r="I26" s="8" t="s">
        <v>6</v>
      </c>
    </row>
    <row r="27" spans="1:12" ht="26.25" customHeight="1" x14ac:dyDescent="0.25">
      <c r="A27" s="181"/>
      <c r="B27" s="210" t="s">
        <v>7</v>
      </c>
      <c r="C27" s="187"/>
      <c r="D27" s="210" t="s">
        <v>2</v>
      </c>
      <c r="E27" s="187"/>
      <c r="F27" s="183"/>
      <c r="G27" s="184"/>
      <c r="H27" s="231"/>
      <c r="I27" s="232"/>
    </row>
    <row r="28" spans="1:12" ht="60" customHeight="1" x14ac:dyDescent="0.25">
      <c r="A28" s="181"/>
      <c r="B28" s="204" t="s">
        <v>47</v>
      </c>
      <c r="C28" s="205"/>
      <c r="D28" s="200" t="s">
        <v>48</v>
      </c>
      <c r="E28" s="219"/>
      <c r="F28" s="190"/>
      <c r="G28" s="191"/>
      <c r="H28" s="193"/>
      <c r="I28" s="230"/>
    </row>
    <row r="29" spans="1:12" ht="60" customHeight="1" x14ac:dyDescent="0.25">
      <c r="A29" s="181"/>
      <c r="B29" s="206"/>
      <c r="C29" s="207"/>
      <c r="D29" s="220"/>
      <c r="E29" s="221"/>
      <c r="F29" s="192"/>
      <c r="G29" s="191"/>
      <c r="H29" s="193"/>
      <c r="I29" s="230"/>
    </row>
    <row r="30" spans="1:12" ht="23.25" customHeight="1" x14ac:dyDescent="0.25">
      <c r="A30" s="181"/>
      <c r="B30" s="177" t="s">
        <v>23</v>
      </c>
      <c r="C30" s="179"/>
      <c r="D30" s="177" t="s">
        <v>45</v>
      </c>
      <c r="E30" s="179"/>
      <c r="F30" s="177"/>
      <c r="G30" s="178"/>
      <c r="H30" s="178"/>
      <c r="I30" s="179"/>
    </row>
    <row r="31" spans="1:12" ht="23.25" customHeight="1" x14ac:dyDescent="0.25">
      <c r="A31" s="181"/>
      <c r="B31" s="177"/>
      <c r="C31" s="179"/>
      <c r="D31" s="177"/>
      <c r="E31" s="179"/>
      <c r="F31" s="18"/>
      <c r="G31" s="20"/>
      <c r="H31" s="20"/>
      <c r="I31" s="19"/>
    </row>
    <row r="32" spans="1:12" ht="23.25" customHeight="1" x14ac:dyDescent="0.25">
      <c r="A32" s="181"/>
      <c r="B32" s="177" t="s">
        <v>20</v>
      </c>
      <c r="C32" s="179"/>
      <c r="D32" s="177" t="s">
        <v>22</v>
      </c>
      <c r="E32" s="179"/>
      <c r="F32" s="177"/>
      <c r="G32" s="178"/>
      <c r="H32" s="178"/>
      <c r="I32" s="179"/>
    </row>
    <row r="33" spans="1:9" ht="23.25" customHeight="1" x14ac:dyDescent="0.25">
      <c r="A33" s="181"/>
      <c r="B33" s="177" t="s">
        <v>26</v>
      </c>
      <c r="C33" s="179"/>
      <c r="D33" s="177"/>
      <c r="E33" s="179"/>
      <c r="F33" s="178"/>
      <c r="G33" s="178"/>
      <c r="H33" s="178"/>
      <c r="I33" s="179"/>
    </row>
    <row r="34" spans="1:9" ht="23.25" customHeight="1" x14ac:dyDescent="0.25">
      <c r="A34" s="181"/>
      <c r="B34" s="208" t="s">
        <v>8</v>
      </c>
      <c r="C34" s="218"/>
      <c r="D34" s="208" t="s">
        <v>9</v>
      </c>
      <c r="E34" s="218"/>
      <c r="F34" s="209"/>
      <c r="G34" s="209"/>
      <c r="H34" s="209"/>
      <c r="I34" s="218"/>
    </row>
    <row r="35" spans="1:9" ht="23.25" customHeight="1" thickBot="1" x14ac:dyDescent="0.3">
      <c r="A35" s="182"/>
      <c r="B35" s="211" t="s">
        <v>32</v>
      </c>
      <c r="C35" s="212"/>
      <c r="D35" s="211" t="s">
        <v>30</v>
      </c>
      <c r="E35" s="212"/>
      <c r="F35" s="178"/>
      <c r="G35" s="178"/>
      <c r="H35" s="178"/>
      <c r="I35" s="178"/>
    </row>
    <row r="36" spans="1:9" ht="13.9" customHeight="1" thickBot="1" x14ac:dyDescent="0.3">
      <c r="A36" s="2" t="s">
        <v>0</v>
      </c>
      <c r="B36" s="216">
        <f>'7月明細(晚餐) '!W88</f>
        <v>858.37679653679652</v>
      </c>
      <c r="C36" s="217"/>
      <c r="D36" s="216">
        <f>'7月明細(晚餐) '!W96</f>
        <v>871.54285714285709</v>
      </c>
      <c r="E36" s="217"/>
      <c r="F36" s="229"/>
      <c r="G36" s="229"/>
      <c r="H36" s="229"/>
      <c r="I36" s="229"/>
    </row>
    <row r="37" spans="1:9" ht="110.1" customHeight="1" x14ac:dyDescent="0.25">
      <c r="A37" s="226" t="s">
        <v>1</v>
      </c>
      <c r="B37" s="227"/>
      <c r="C37" s="227"/>
      <c r="D37" s="227"/>
      <c r="E37" s="227"/>
      <c r="F37" s="228"/>
      <c r="G37" s="228"/>
      <c r="H37" s="228"/>
      <c r="I37" s="228"/>
    </row>
    <row r="39" spans="1:9" x14ac:dyDescent="0.25">
      <c r="A39" s="3"/>
    </row>
    <row r="40" spans="1:9" x14ac:dyDescent="0.25">
      <c r="A40" s="3"/>
    </row>
    <row r="41" spans="1:9" x14ac:dyDescent="0.25">
      <c r="A41" s="3"/>
      <c r="H41" s="5"/>
    </row>
    <row r="42" spans="1:9" x14ac:dyDescent="0.25">
      <c r="A42" s="3"/>
      <c r="C42"/>
    </row>
    <row r="43" spans="1:9" x14ac:dyDescent="0.25">
      <c r="A43" s="3"/>
      <c r="C43"/>
    </row>
    <row r="44" spans="1:9" x14ac:dyDescent="0.25">
      <c r="B44"/>
    </row>
  </sheetData>
  <mergeCells count="92">
    <mergeCell ref="F27:G27"/>
    <mergeCell ref="H27:I27"/>
    <mergeCell ref="H24:I24"/>
    <mergeCell ref="F24:G24"/>
    <mergeCell ref="F6:G7"/>
    <mergeCell ref="F8:G9"/>
    <mergeCell ref="H21:I22"/>
    <mergeCell ref="H19:I20"/>
    <mergeCell ref="F10:G10"/>
    <mergeCell ref="F11:G11"/>
    <mergeCell ref="F12:G12"/>
    <mergeCell ref="H8:I9"/>
    <mergeCell ref="H6:I7"/>
    <mergeCell ref="H11:I11"/>
    <mergeCell ref="H12:I12"/>
    <mergeCell ref="F14:G14"/>
    <mergeCell ref="F15:G18"/>
    <mergeCell ref="A37:I37"/>
    <mergeCell ref="B35:C35"/>
    <mergeCell ref="D35:E35"/>
    <mergeCell ref="F35:G35"/>
    <mergeCell ref="H35:I35"/>
    <mergeCell ref="B36:C36"/>
    <mergeCell ref="D36:E36"/>
    <mergeCell ref="F36:G36"/>
    <mergeCell ref="H36:I36"/>
    <mergeCell ref="A26:A35"/>
    <mergeCell ref="B27:C27"/>
    <mergeCell ref="D27:E27"/>
    <mergeCell ref="D28:E29"/>
    <mergeCell ref="F28:G29"/>
    <mergeCell ref="H28:I29"/>
    <mergeCell ref="B28:C29"/>
    <mergeCell ref="B34:C34"/>
    <mergeCell ref="H34:I34"/>
    <mergeCell ref="F32:G33"/>
    <mergeCell ref="B32:C32"/>
    <mergeCell ref="B33:C33"/>
    <mergeCell ref="B30:C31"/>
    <mergeCell ref="D34:E34"/>
    <mergeCell ref="F34:G34"/>
    <mergeCell ref="H33:I33"/>
    <mergeCell ref="F30:G30"/>
    <mergeCell ref="H32:I32"/>
    <mergeCell ref="D30:E31"/>
    <mergeCell ref="D32:E33"/>
    <mergeCell ref="H30:I30"/>
    <mergeCell ref="B25:C25"/>
    <mergeCell ref="D25:E25"/>
    <mergeCell ref="F25:G25"/>
    <mergeCell ref="H25:I25"/>
    <mergeCell ref="H14:I14"/>
    <mergeCell ref="B23:C23"/>
    <mergeCell ref="D23:E23"/>
    <mergeCell ref="F23:G23"/>
    <mergeCell ref="H23:I23"/>
    <mergeCell ref="B21:C21"/>
    <mergeCell ref="B22:C22"/>
    <mergeCell ref="F21:G22"/>
    <mergeCell ref="F19:G20"/>
    <mergeCell ref="D19:E20"/>
    <mergeCell ref="H15:I18"/>
    <mergeCell ref="B19:C20"/>
    <mergeCell ref="B15:C18"/>
    <mergeCell ref="B10:C10"/>
    <mergeCell ref="A13:A24"/>
    <mergeCell ref="B14:C14"/>
    <mergeCell ref="D14:E14"/>
    <mergeCell ref="B24:C24"/>
    <mergeCell ref="D24:E24"/>
    <mergeCell ref="B11:C11"/>
    <mergeCell ref="D11:E11"/>
    <mergeCell ref="B12:C12"/>
    <mergeCell ref="D12:E12"/>
    <mergeCell ref="D10:E10"/>
    <mergeCell ref="D15:E18"/>
    <mergeCell ref="D21:E22"/>
    <mergeCell ref="A1:I1"/>
    <mergeCell ref="B7:C8"/>
    <mergeCell ref="D7:E8"/>
    <mergeCell ref="A2:A11"/>
    <mergeCell ref="B3:C3"/>
    <mergeCell ref="D3:E3"/>
    <mergeCell ref="F3:G3"/>
    <mergeCell ref="H3:I3"/>
    <mergeCell ref="B4:C5"/>
    <mergeCell ref="D4:E5"/>
    <mergeCell ref="F4:G5"/>
    <mergeCell ref="H4:I5"/>
    <mergeCell ref="B6:C6"/>
    <mergeCell ref="D6:E6"/>
    <mergeCell ref="H10:I10"/>
  </mergeCells>
  <phoneticPr fontId="2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view="pageBreakPreview" topLeftCell="A58" zoomScale="90" zoomScaleNormal="70" zoomScaleSheetLayoutView="90" workbookViewId="0">
      <selection activeCell="AI72" sqref="AI72"/>
    </sheetView>
  </sheetViews>
  <sheetFormatPr defaultRowHeight="16.5" x14ac:dyDescent="0.25"/>
  <cols>
    <col min="1" max="1" width="3.5" style="172" customWidth="1"/>
    <col min="2" max="2" width="7.75" customWidth="1"/>
    <col min="3" max="3" width="6.375" style="168" customWidth="1"/>
    <col min="4" max="4" width="10.25" customWidth="1"/>
    <col min="5" max="5" width="6.375" style="168" customWidth="1"/>
    <col min="6" max="6" width="7.375" customWidth="1"/>
    <col min="7" max="7" width="6.375" style="168" customWidth="1"/>
    <col min="8" max="8" width="6.875" customWidth="1"/>
    <col min="9" max="9" width="6.5" style="168" customWidth="1"/>
    <col min="10" max="10" width="7.5" customWidth="1"/>
    <col min="11" max="11" width="6.625" style="168" customWidth="1"/>
    <col min="12" max="12" width="6.625" customWidth="1"/>
    <col min="13" max="13" width="6.375" style="173" customWidth="1"/>
    <col min="14" max="14" width="7.375" hidden="1" customWidth="1"/>
    <col min="15" max="15" width="18" hidden="1" customWidth="1"/>
    <col min="16" max="16" width="5.625" hidden="1" customWidth="1"/>
    <col min="17" max="17" width="4.375" hidden="1" customWidth="1"/>
    <col min="18" max="18" width="7.5" hidden="1" customWidth="1"/>
    <col min="19" max="21" width="8.875" hidden="1" customWidth="1"/>
    <col min="22" max="22" width="0" hidden="1" customWidth="1"/>
    <col min="23" max="23" width="7.375" customWidth="1"/>
    <col min="24" max="24" width="17.5" customWidth="1"/>
    <col min="25" max="25" width="6.5" customWidth="1"/>
    <col min="26" max="26" width="5.625" customWidth="1"/>
    <col min="28" max="28" width="7.625" customWidth="1"/>
    <col min="31" max="31" width="6.375" customWidth="1"/>
    <col min="32" max="32" width="5.5" customWidth="1"/>
  </cols>
  <sheetData>
    <row r="1" spans="1:30" ht="21.75" thickBot="1" x14ac:dyDescent="0.3">
      <c r="A1" s="233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30" ht="35.25" thickBot="1" x14ac:dyDescent="0.3">
      <c r="A2" s="21" t="s">
        <v>52</v>
      </c>
      <c r="B2" s="22" t="s">
        <v>53</v>
      </c>
      <c r="C2" s="23" t="s">
        <v>54</v>
      </c>
      <c r="D2" s="22" t="s">
        <v>55</v>
      </c>
      <c r="E2" s="23" t="s">
        <v>54</v>
      </c>
      <c r="F2" s="22" t="s">
        <v>55</v>
      </c>
      <c r="G2" s="23" t="s">
        <v>54</v>
      </c>
      <c r="H2" s="22" t="s">
        <v>55</v>
      </c>
      <c r="I2" s="23" t="s">
        <v>54</v>
      </c>
      <c r="J2" s="22" t="s">
        <v>56</v>
      </c>
      <c r="K2" s="23" t="s">
        <v>54</v>
      </c>
      <c r="L2" s="22" t="s">
        <v>57</v>
      </c>
      <c r="M2" s="23" t="s">
        <v>54</v>
      </c>
      <c r="N2" s="23" t="s">
        <v>58</v>
      </c>
      <c r="O2" s="234" t="s">
        <v>59</v>
      </c>
      <c r="P2" s="235"/>
      <c r="Q2" s="235"/>
      <c r="R2" s="235"/>
      <c r="S2" s="235"/>
      <c r="T2" s="235"/>
      <c r="U2" s="236"/>
      <c r="W2" s="23" t="s">
        <v>58</v>
      </c>
      <c r="X2" s="234" t="s">
        <v>59</v>
      </c>
      <c r="Y2" s="235"/>
      <c r="Z2" s="235"/>
      <c r="AA2" s="235"/>
      <c r="AB2" s="235"/>
      <c r="AC2" s="235"/>
      <c r="AD2" s="236"/>
    </row>
    <row r="3" spans="1:30" ht="16.149999999999999" customHeight="1" thickBot="1" x14ac:dyDescent="0.3">
      <c r="A3" s="237">
        <v>44011</v>
      </c>
      <c r="B3" s="239"/>
      <c r="C3" s="240"/>
      <c r="D3" s="241"/>
      <c r="E3" s="240"/>
      <c r="F3" s="242"/>
      <c r="G3" s="243"/>
      <c r="H3" s="239"/>
      <c r="I3" s="244"/>
      <c r="J3" s="239"/>
      <c r="K3" s="245"/>
      <c r="L3" s="246"/>
      <c r="M3" s="247"/>
      <c r="N3" s="24" t="s">
        <v>60</v>
      </c>
      <c r="O3" s="25" t="s">
        <v>61</v>
      </c>
      <c r="P3" s="26">
        <f>C4/65+G4/55+G5/90+K4/20+M4/20+M5/20</f>
        <v>0</v>
      </c>
      <c r="Q3" s="27" t="s">
        <v>63</v>
      </c>
      <c r="R3" s="28" t="s">
        <v>64</v>
      </c>
      <c r="S3" s="29">
        <f>P9</f>
        <v>112.5</v>
      </c>
      <c r="T3" s="27" t="s">
        <v>66</v>
      </c>
      <c r="U3" s="30" t="s">
        <v>67</v>
      </c>
      <c r="W3" s="24" t="s">
        <v>60</v>
      </c>
      <c r="X3" s="248" t="s">
        <v>68</v>
      </c>
      <c r="Y3" s="249"/>
      <c r="Z3" s="250"/>
      <c r="AA3" s="251" t="s">
        <v>69</v>
      </c>
      <c r="AB3" s="252"/>
      <c r="AC3" s="252"/>
      <c r="AD3" s="253"/>
    </row>
    <row r="4" spans="1:30" ht="16.149999999999999" customHeight="1" x14ac:dyDescent="0.25">
      <c r="A4" s="238"/>
      <c r="B4" s="31"/>
      <c r="C4" s="32"/>
      <c r="D4" s="33"/>
      <c r="E4" s="34"/>
      <c r="F4" s="35"/>
      <c r="G4" s="34"/>
      <c r="H4" s="36"/>
      <c r="I4" s="37"/>
      <c r="J4" s="38"/>
      <c r="K4" s="39"/>
      <c r="L4" s="38"/>
      <c r="M4" s="39"/>
      <c r="N4" s="40">
        <f>S4</f>
        <v>0</v>
      </c>
      <c r="O4" s="41" t="s">
        <v>70</v>
      </c>
      <c r="P4" s="42">
        <f>C6/55+E4/50+E5/35+K7/35</f>
        <v>0</v>
      </c>
      <c r="Q4" s="43" t="s">
        <v>63</v>
      </c>
      <c r="R4" s="44" t="s">
        <v>71</v>
      </c>
      <c r="S4" s="45">
        <f>P3*15+P5*5+P6*15+P7*12</f>
        <v>0</v>
      </c>
      <c r="T4" s="43" t="s">
        <v>73</v>
      </c>
      <c r="U4" s="46">
        <f>S4*4/S3</f>
        <v>0</v>
      </c>
      <c r="W4" s="40">
        <f>AB5</f>
        <v>0</v>
      </c>
      <c r="X4" s="47" t="s">
        <v>61</v>
      </c>
      <c r="Y4" s="26">
        <f>M4/20+M5/20+G4/55</f>
        <v>0</v>
      </c>
      <c r="Z4" s="27" t="s">
        <v>63</v>
      </c>
      <c r="AA4" s="28" t="s">
        <v>64</v>
      </c>
      <c r="AB4" s="29">
        <f>Y10</f>
        <v>108</v>
      </c>
      <c r="AC4" s="27" t="s">
        <v>66</v>
      </c>
      <c r="AD4" s="30" t="s">
        <v>67</v>
      </c>
    </row>
    <row r="5" spans="1:30" ht="16.149999999999999" customHeight="1" x14ac:dyDescent="0.25">
      <c r="A5" s="238"/>
      <c r="B5" s="48"/>
      <c r="C5" s="49"/>
      <c r="D5" s="50"/>
      <c r="E5" s="34"/>
      <c r="F5" s="51"/>
      <c r="G5" s="52"/>
      <c r="H5" s="53"/>
      <c r="I5" s="54"/>
      <c r="J5" s="53"/>
      <c r="K5" s="55"/>
      <c r="L5" s="56"/>
      <c r="M5" s="57"/>
      <c r="N5" s="58" t="s">
        <v>74</v>
      </c>
      <c r="O5" s="59" t="s">
        <v>76</v>
      </c>
      <c r="P5" s="42">
        <f>(C5+I4+K5+K6+K8)/100</f>
        <v>0</v>
      </c>
      <c r="Q5" s="43" t="s">
        <v>63</v>
      </c>
      <c r="R5" s="44" t="s">
        <v>78</v>
      </c>
      <c r="S5" s="45">
        <f>P4*5+P7*4+P8*5</f>
        <v>12.5</v>
      </c>
      <c r="T5" s="43" t="s">
        <v>73</v>
      </c>
      <c r="U5" s="46">
        <f>S5*9/S3</f>
        <v>1</v>
      </c>
      <c r="W5" s="58" t="s">
        <v>74</v>
      </c>
      <c r="X5" s="41" t="s">
        <v>70</v>
      </c>
      <c r="Y5" s="42">
        <f>C4/55+E4/50</f>
        <v>0</v>
      </c>
      <c r="Z5" s="43" t="s">
        <v>63</v>
      </c>
      <c r="AA5" s="44" t="s">
        <v>71</v>
      </c>
      <c r="AB5" s="45">
        <f>Y4*15+Y6*5+Y7*15+Y8*12</f>
        <v>0</v>
      </c>
      <c r="AC5" s="43" t="s">
        <v>73</v>
      </c>
      <c r="AD5" s="46">
        <f>AB5*4/AB4</f>
        <v>0</v>
      </c>
    </row>
    <row r="6" spans="1:30" ht="16.149999999999999" customHeight="1" x14ac:dyDescent="0.25">
      <c r="A6" s="238"/>
      <c r="B6" s="56"/>
      <c r="C6" s="49"/>
      <c r="D6" s="60"/>
      <c r="E6" s="55"/>
      <c r="F6" s="61"/>
      <c r="G6" s="62"/>
      <c r="H6" s="63"/>
      <c r="I6" s="55"/>
      <c r="J6" s="64"/>
      <c r="K6" s="65"/>
      <c r="L6" s="66"/>
      <c r="M6" s="57"/>
      <c r="N6" s="40">
        <f>S5</f>
        <v>12.5</v>
      </c>
      <c r="O6" s="67" t="s">
        <v>79</v>
      </c>
      <c r="P6" s="68">
        <v>0</v>
      </c>
      <c r="Q6" s="43" t="s">
        <v>63</v>
      </c>
      <c r="R6" s="44" t="s">
        <v>80</v>
      </c>
      <c r="S6" s="45">
        <f>P3*2+P4*7+P5*1+P7*8</f>
        <v>0</v>
      </c>
      <c r="T6" s="43" t="s">
        <v>73</v>
      </c>
      <c r="U6" s="46">
        <f>S6*4/S3</f>
        <v>0</v>
      </c>
      <c r="W6" s="40">
        <f>AB6</f>
        <v>12</v>
      </c>
      <c r="X6" s="59" t="s">
        <v>76</v>
      </c>
      <c r="Y6" s="42">
        <f>(C5+E5+E6+E7+I4+K4)/100</f>
        <v>0</v>
      </c>
      <c r="Z6" s="43" t="s">
        <v>63</v>
      </c>
      <c r="AA6" s="44" t="s">
        <v>78</v>
      </c>
      <c r="AB6" s="45">
        <f>Y5*5+Y8*4+Y9*5</f>
        <v>12</v>
      </c>
      <c r="AC6" s="43" t="s">
        <v>73</v>
      </c>
      <c r="AD6" s="46">
        <f>AB6*9/AB4</f>
        <v>1</v>
      </c>
    </row>
    <row r="7" spans="1:30" ht="16.149999999999999" customHeight="1" x14ac:dyDescent="0.25">
      <c r="A7" s="238"/>
      <c r="B7" s="53"/>
      <c r="C7" s="49"/>
      <c r="D7" s="60"/>
      <c r="E7" s="54"/>
      <c r="F7" s="69"/>
      <c r="G7" s="70"/>
      <c r="H7" s="63"/>
      <c r="I7" s="55"/>
      <c r="J7" s="53"/>
      <c r="K7" s="57"/>
      <c r="L7" s="61"/>
      <c r="M7" s="62"/>
      <c r="N7" s="58" t="s">
        <v>81</v>
      </c>
      <c r="O7" s="71" t="s">
        <v>82</v>
      </c>
      <c r="P7" s="68">
        <v>0</v>
      </c>
      <c r="Q7" s="43" t="s">
        <v>63</v>
      </c>
      <c r="R7" s="72"/>
      <c r="S7" s="72"/>
      <c r="T7" s="72"/>
      <c r="U7" s="73">
        <f>SUM(U4:U6)</f>
        <v>1</v>
      </c>
      <c r="W7" s="58" t="s">
        <v>81</v>
      </c>
      <c r="X7" s="71" t="s">
        <v>79</v>
      </c>
      <c r="Y7" s="68">
        <v>0</v>
      </c>
      <c r="Z7" s="43" t="s">
        <v>63</v>
      </c>
      <c r="AA7" s="44" t="s">
        <v>80</v>
      </c>
      <c r="AB7" s="45">
        <f>Y4*2+Y5*7+Y6*1+Y8*8</f>
        <v>0</v>
      </c>
      <c r="AC7" s="43" t="s">
        <v>73</v>
      </c>
      <c r="AD7" s="46">
        <f>AB7*4/AB4</f>
        <v>0</v>
      </c>
    </row>
    <row r="8" spans="1:30" ht="16.149999999999999" customHeight="1" x14ac:dyDescent="0.25">
      <c r="A8" s="238" t="s">
        <v>83</v>
      </c>
      <c r="B8" s="69"/>
      <c r="C8" s="70"/>
      <c r="D8" s="74"/>
      <c r="E8" s="70"/>
      <c r="F8" s="66"/>
      <c r="G8" s="57"/>
      <c r="H8" s="63"/>
      <c r="I8" s="55"/>
      <c r="J8" s="63"/>
      <c r="K8" s="57"/>
      <c r="L8" s="63"/>
      <c r="M8" s="57"/>
      <c r="N8" s="40">
        <f>S6</f>
        <v>0</v>
      </c>
      <c r="O8" s="75" t="s">
        <v>84</v>
      </c>
      <c r="P8" s="68">
        <v>2.5</v>
      </c>
      <c r="Q8" s="43" t="s">
        <v>63</v>
      </c>
      <c r="R8" s="76"/>
      <c r="S8" s="76"/>
      <c r="T8" s="76"/>
      <c r="U8" s="77"/>
      <c r="W8" s="40">
        <f>AB7</f>
        <v>0</v>
      </c>
      <c r="X8" s="71" t="s">
        <v>82</v>
      </c>
      <c r="Y8" s="68">
        <v>0</v>
      </c>
      <c r="Z8" s="43" t="s">
        <v>63</v>
      </c>
      <c r="AA8" s="72"/>
      <c r="AB8" s="72"/>
      <c r="AC8" s="72"/>
      <c r="AD8" s="73">
        <f>SUM(AD5:AD7)</f>
        <v>1</v>
      </c>
    </row>
    <row r="9" spans="1:30" ht="16.149999999999999" customHeight="1" thickBot="1" x14ac:dyDescent="0.3">
      <c r="A9" s="238"/>
      <c r="B9" s="66"/>
      <c r="C9" s="57"/>
      <c r="D9" s="74"/>
      <c r="E9" s="70"/>
      <c r="F9" s="66"/>
      <c r="G9" s="57"/>
      <c r="H9" s="63"/>
      <c r="I9" s="55"/>
      <c r="J9" s="63"/>
      <c r="K9" s="55"/>
      <c r="L9" s="66"/>
      <c r="M9" s="57"/>
      <c r="N9" s="58" t="s">
        <v>85</v>
      </c>
      <c r="O9" s="78" t="s">
        <v>87</v>
      </c>
      <c r="P9" s="79">
        <f>P3*68+P4*73+P5*24+P6*60+P7*112+P8*45</f>
        <v>112.5</v>
      </c>
      <c r="Q9" s="80" t="s">
        <v>66</v>
      </c>
      <c r="R9" s="81"/>
      <c r="S9" s="81"/>
      <c r="T9" s="81"/>
      <c r="U9" s="82"/>
      <c r="W9" s="58" t="s">
        <v>85</v>
      </c>
      <c r="X9" s="75" t="s">
        <v>84</v>
      </c>
      <c r="Y9" s="68">
        <v>2.4</v>
      </c>
      <c r="Z9" s="43" t="s">
        <v>63</v>
      </c>
      <c r="AA9" s="76"/>
      <c r="AB9" s="76"/>
      <c r="AC9" s="76"/>
      <c r="AD9" s="77"/>
    </row>
    <row r="10" spans="1:30" ht="16.149999999999999" customHeight="1" thickBot="1" x14ac:dyDescent="0.3">
      <c r="A10" s="254"/>
      <c r="B10" s="255"/>
      <c r="C10" s="256"/>
      <c r="D10" s="257"/>
      <c r="E10" s="258"/>
      <c r="F10" s="255"/>
      <c r="G10" s="256"/>
      <c r="H10" s="255"/>
      <c r="I10" s="256"/>
      <c r="J10" s="255"/>
      <c r="K10" s="256"/>
      <c r="L10" s="255"/>
      <c r="M10" s="256"/>
      <c r="N10" s="83">
        <f>P9</f>
        <v>112.5</v>
      </c>
      <c r="O10" s="84"/>
      <c r="P10" s="85"/>
      <c r="Q10" s="85"/>
      <c r="R10" s="85"/>
      <c r="S10" s="85"/>
      <c r="T10" s="85"/>
      <c r="U10" s="86"/>
      <c r="W10" s="83">
        <f>Y10</f>
        <v>108</v>
      </c>
      <c r="X10" s="78" t="s">
        <v>87</v>
      </c>
      <c r="Y10" s="79">
        <f>Y4*68+Y5*73+Y6*24+Y7*60+Y8*112+Y9*45</f>
        <v>108</v>
      </c>
      <c r="Z10" s="80" t="s">
        <v>66</v>
      </c>
      <c r="AA10" s="81"/>
      <c r="AB10" s="81"/>
      <c r="AC10" s="81"/>
      <c r="AD10" s="82"/>
    </row>
    <row r="11" spans="1:30" ht="16.149999999999999" customHeight="1" thickBot="1" x14ac:dyDescent="0.3">
      <c r="A11" s="237">
        <f>A3+1</f>
        <v>44012</v>
      </c>
      <c r="B11" s="242"/>
      <c r="C11" s="243"/>
      <c r="D11" s="242"/>
      <c r="E11" s="243"/>
      <c r="F11" s="261"/>
      <c r="G11" s="243"/>
      <c r="H11" s="239"/>
      <c r="I11" s="244"/>
      <c r="J11" s="242"/>
      <c r="K11" s="243"/>
      <c r="L11" s="259"/>
      <c r="M11" s="240"/>
      <c r="N11" s="24" t="s">
        <v>60</v>
      </c>
      <c r="O11" s="248" t="s">
        <v>68</v>
      </c>
      <c r="P11" s="249"/>
      <c r="Q11" s="250"/>
      <c r="R11" s="251" t="s">
        <v>69</v>
      </c>
      <c r="S11" s="252"/>
      <c r="T11" s="252"/>
      <c r="U11" s="253"/>
      <c r="W11" s="24" t="s">
        <v>60</v>
      </c>
      <c r="X11" s="248" t="s">
        <v>68</v>
      </c>
      <c r="Y11" s="249"/>
      <c r="Z11" s="250"/>
      <c r="AA11" s="251" t="s">
        <v>69</v>
      </c>
      <c r="AB11" s="252"/>
      <c r="AC11" s="252"/>
      <c r="AD11" s="253"/>
    </row>
    <row r="12" spans="1:30" ht="16.149999999999999" customHeight="1" x14ac:dyDescent="0.25">
      <c r="A12" s="238"/>
      <c r="B12" s="36"/>
      <c r="C12" s="34"/>
      <c r="D12" s="31"/>
      <c r="E12" s="32"/>
      <c r="F12" s="35"/>
      <c r="G12" s="52"/>
      <c r="H12" s="36"/>
      <c r="I12" s="37"/>
      <c r="J12" s="87"/>
      <c r="K12" s="88"/>
      <c r="L12" s="66"/>
      <c r="M12" s="39"/>
      <c r="N12" s="40" t="e">
        <f>S13</f>
        <v>#REF!</v>
      </c>
      <c r="O12" s="25" t="s">
        <v>61</v>
      </c>
      <c r="P12" s="68">
        <f>G12/20+M12/20+M13/55</f>
        <v>0</v>
      </c>
      <c r="Q12" s="27" t="s">
        <v>63</v>
      </c>
      <c r="R12" s="89" t="s">
        <v>64</v>
      </c>
      <c r="S12" s="90" t="e">
        <f>P18</f>
        <v>#REF!</v>
      </c>
      <c r="T12" s="91" t="s">
        <v>66</v>
      </c>
      <c r="U12" s="92" t="s">
        <v>67</v>
      </c>
      <c r="W12" s="40">
        <f>AB13</f>
        <v>0</v>
      </c>
      <c r="X12" s="25" t="s">
        <v>61</v>
      </c>
      <c r="Y12" s="26">
        <f>M12/20+M13/20</f>
        <v>0</v>
      </c>
      <c r="Z12" s="27" t="s">
        <v>63</v>
      </c>
      <c r="AA12" s="89" t="s">
        <v>64</v>
      </c>
      <c r="AB12" s="90">
        <f>Y18</f>
        <v>108</v>
      </c>
      <c r="AC12" s="91" t="s">
        <v>66</v>
      </c>
      <c r="AD12" s="92" t="s">
        <v>67</v>
      </c>
    </row>
    <row r="13" spans="1:30" ht="16.149999999999999" customHeight="1" x14ac:dyDescent="0.25">
      <c r="A13" s="238"/>
      <c r="B13" s="93"/>
      <c r="C13" s="94"/>
      <c r="D13" s="56"/>
      <c r="E13" s="49"/>
      <c r="F13" s="51"/>
      <c r="G13" s="52"/>
      <c r="H13" s="53"/>
      <c r="I13" s="54"/>
      <c r="J13" s="95"/>
      <c r="K13" s="34"/>
      <c r="L13" s="66"/>
      <c r="M13" s="57"/>
      <c r="N13" s="58" t="s">
        <v>74</v>
      </c>
      <c r="O13" s="41" t="s">
        <v>70</v>
      </c>
      <c r="P13" s="42" t="e">
        <f>C12/35+G15/35+E15/55+#REF!*0.65/35</f>
        <v>#REF!</v>
      </c>
      <c r="Q13" s="43" t="s">
        <v>63</v>
      </c>
      <c r="R13" s="44" t="s">
        <v>71</v>
      </c>
      <c r="S13" s="45" t="e">
        <f>P12*15+P14*5+P15*15+P16*12</f>
        <v>#REF!</v>
      </c>
      <c r="T13" s="43" t="s">
        <v>73</v>
      </c>
      <c r="U13" s="46" t="e">
        <f>S13*4/S12</f>
        <v>#REF!</v>
      </c>
      <c r="W13" s="58" t="s">
        <v>74</v>
      </c>
      <c r="X13" s="41" t="s">
        <v>70</v>
      </c>
      <c r="Y13" s="42">
        <f>C12/35+C16/40+E15/50+G13/55+K13*0.3/35</f>
        <v>0</v>
      </c>
      <c r="Z13" s="43" t="s">
        <v>63</v>
      </c>
      <c r="AA13" s="44" t="s">
        <v>71</v>
      </c>
      <c r="AB13" s="45">
        <f>Y12*15+Y14*5+Y15*15+Y16*12</f>
        <v>0</v>
      </c>
      <c r="AC13" s="43" t="s">
        <v>73</v>
      </c>
      <c r="AD13" s="46">
        <f>AB13*4/AB12</f>
        <v>0</v>
      </c>
    </row>
    <row r="14" spans="1:30" ht="16.149999999999999" customHeight="1" x14ac:dyDescent="0.25">
      <c r="A14" s="238"/>
      <c r="B14" s="56"/>
      <c r="C14" s="49"/>
      <c r="D14" s="56"/>
      <c r="E14" s="54"/>
      <c r="F14" s="96"/>
      <c r="G14" s="52"/>
      <c r="H14" s="63"/>
      <c r="I14" s="55"/>
      <c r="J14" s="97"/>
      <c r="K14" s="98"/>
      <c r="L14" s="99"/>
      <c r="M14" s="100"/>
      <c r="N14" s="40" t="e">
        <f>S14</f>
        <v>#REF!</v>
      </c>
      <c r="O14" s="59" t="s">
        <v>76</v>
      </c>
      <c r="P14" s="42" t="e">
        <f>(C13+G13+G14+E12+E13+E14+#REF!+I12+#REF!)/100</f>
        <v>#REF!</v>
      </c>
      <c r="Q14" s="43" t="s">
        <v>63</v>
      </c>
      <c r="R14" s="44" t="s">
        <v>78</v>
      </c>
      <c r="S14" s="45" t="e">
        <f>P13*5+P16*4+P17*5</f>
        <v>#REF!</v>
      </c>
      <c r="T14" s="43" t="s">
        <v>73</v>
      </c>
      <c r="U14" s="46" t="e">
        <f>S14*9/S12</f>
        <v>#REF!</v>
      </c>
      <c r="W14" s="40">
        <f>AB14</f>
        <v>12</v>
      </c>
      <c r="X14" s="59" t="s">
        <v>76</v>
      </c>
      <c r="Y14" s="42">
        <f>(K12+I12+G12+G13+E14+K13+G15+K15)/100</f>
        <v>0</v>
      </c>
      <c r="Z14" s="43" t="s">
        <v>63</v>
      </c>
      <c r="AA14" s="44" t="s">
        <v>78</v>
      </c>
      <c r="AB14" s="45">
        <f>Y13*5+Y16*4+Y17*5</f>
        <v>12</v>
      </c>
      <c r="AC14" s="43" t="s">
        <v>73</v>
      </c>
      <c r="AD14" s="46">
        <f>AB14*9/AB12</f>
        <v>1</v>
      </c>
    </row>
    <row r="15" spans="1:30" ht="16.149999999999999" customHeight="1" x14ac:dyDescent="0.25">
      <c r="A15" s="238"/>
      <c r="B15" s="56"/>
      <c r="C15" s="49"/>
      <c r="D15" s="56"/>
      <c r="E15" s="57"/>
      <c r="F15" s="51"/>
      <c r="G15" s="55"/>
      <c r="H15" s="63"/>
      <c r="I15" s="55"/>
      <c r="J15" s="101"/>
      <c r="K15" s="102"/>
      <c r="L15" s="99"/>
      <c r="M15" s="100"/>
      <c r="N15" s="58" t="s">
        <v>81</v>
      </c>
      <c r="O15" s="67" t="s">
        <v>79</v>
      </c>
      <c r="P15" s="68">
        <v>0</v>
      </c>
      <c r="Q15" s="43" t="s">
        <v>63</v>
      </c>
      <c r="R15" s="44" t="s">
        <v>80</v>
      </c>
      <c r="S15" s="45" t="e">
        <f>P12*2+P13*7+P14*1+P16*8</f>
        <v>#REF!</v>
      </c>
      <c r="T15" s="43" t="s">
        <v>73</v>
      </c>
      <c r="U15" s="46" t="e">
        <f>S15*4/S12</f>
        <v>#REF!</v>
      </c>
      <c r="W15" s="58" t="s">
        <v>81</v>
      </c>
      <c r="X15" s="71" t="s">
        <v>79</v>
      </c>
      <c r="Y15" s="68">
        <v>0</v>
      </c>
      <c r="Z15" s="43" t="s">
        <v>63</v>
      </c>
      <c r="AA15" s="44" t="s">
        <v>80</v>
      </c>
      <c r="AB15" s="45">
        <f>Y12*2+Y13*7+Y14*1+Y16*8</f>
        <v>0</v>
      </c>
      <c r="AC15" s="43" t="s">
        <v>73</v>
      </c>
      <c r="AD15" s="46">
        <f>AB15*4/AB12</f>
        <v>0</v>
      </c>
    </row>
    <row r="16" spans="1:30" ht="16.149999999999999" customHeight="1" x14ac:dyDescent="0.25">
      <c r="A16" s="238" t="s">
        <v>88</v>
      </c>
      <c r="B16" s="103"/>
      <c r="C16" s="70"/>
      <c r="D16" s="104"/>
      <c r="E16" s="54"/>
      <c r="F16" s="51"/>
      <c r="G16" s="57"/>
      <c r="H16" s="63"/>
      <c r="I16" s="55"/>
      <c r="J16" s="63"/>
      <c r="K16" s="57"/>
      <c r="L16" s="99"/>
      <c r="M16" s="100"/>
      <c r="N16" s="40" t="e">
        <f>S15</f>
        <v>#REF!</v>
      </c>
      <c r="O16" s="71" t="s">
        <v>82</v>
      </c>
      <c r="P16" s="68">
        <v>0</v>
      </c>
      <c r="Q16" s="43" t="s">
        <v>63</v>
      </c>
      <c r="R16" s="72"/>
      <c r="S16" s="72"/>
      <c r="T16" s="72"/>
      <c r="U16" s="73" t="e">
        <f>SUM(U13:U15)</f>
        <v>#REF!</v>
      </c>
      <c r="W16" s="40">
        <f>AB15</f>
        <v>0</v>
      </c>
      <c r="X16" s="71" t="s">
        <v>82</v>
      </c>
      <c r="Y16" s="68">
        <v>0</v>
      </c>
      <c r="Z16" s="43" t="s">
        <v>63</v>
      </c>
      <c r="AA16" s="72"/>
      <c r="AB16" s="72"/>
      <c r="AC16" s="72"/>
      <c r="AD16" s="73">
        <f>SUM(AD13:AD15)</f>
        <v>1</v>
      </c>
    </row>
    <row r="17" spans="1:30" ht="16.149999999999999" customHeight="1" x14ac:dyDescent="0.25">
      <c r="A17" s="238"/>
      <c r="B17" s="103"/>
      <c r="C17" s="70"/>
      <c r="D17" s="61"/>
      <c r="E17" s="105"/>
      <c r="F17" s="56"/>
      <c r="G17" s="49"/>
      <c r="H17" s="63"/>
      <c r="I17" s="55"/>
      <c r="J17" s="63"/>
      <c r="K17" s="55"/>
      <c r="L17" s="99"/>
      <c r="M17" s="100"/>
      <c r="N17" s="58" t="s">
        <v>85</v>
      </c>
      <c r="O17" s="75" t="s">
        <v>84</v>
      </c>
      <c r="P17" s="68">
        <v>2.5</v>
      </c>
      <c r="Q17" s="43" t="s">
        <v>63</v>
      </c>
      <c r="R17" s="76"/>
      <c r="S17" s="76"/>
      <c r="T17" s="76"/>
      <c r="U17" s="77"/>
      <c r="W17" s="58" t="s">
        <v>85</v>
      </c>
      <c r="X17" s="75" t="s">
        <v>84</v>
      </c>
      <c r="Y17" s="68">
        <v>2.4</v>
      </c>
      <c r="Z17" s="43" t="s">
        <v>63</v>
      </c>
      <c r="AA17" s="76"/>
      <c r="AB17" s="76"/>
      <c r="AC17" s="76"/>
      <c r="AD17" s="77"/>
    </row>
    <row r="18" spans="1:30" ht="16.149999999999999" customHeight="1" thickBot="1" x14ac:dyDescent="0.3">
      <c r="A18" s="254"/>
      <c r="B18" s="255"/>
      <c r="C18" s="256"/>
      <c r="D18" s="255"/>
      <c r="E18" s="256"/>
      <c r="F18" s="260"/>
      <c r="G18" s="256"/>
      <c r="H18" s="255"/>
      <c r="I18" s="256"/>
      <c r="J18" s="255"/>
      <c r="K18" s="256"/>
      <c r="L18" s="255"/>
      <c r="M18" s="256"/>
      <c r="N18" s="83" t="e">
        <f>P18</f>
        <v>#REF!</v>
      </c>
      <c r="O18" s="78" t="s">
        <v>87</v>
      </c>
      <c r="P18" s="79" t="e">
        <f>P12*68+P13*73+P14*24+P15*60+P16*112+P17*45</f>
        <v>#REF!</v>
      </c>
      <c r="Q18" s="80" t="s">
        <v>66</v>
      </c>
      <c r="R18" s="81"/>
      <c r="S18" s="81"/>
      <c r="T18" s="81"/>
      <c r="U18" s="82"/>
      <c r="W18" s="83">
        <f>Y18</f>
        <v>108</v>
      </c>
      <c r="X18" s="78" t="s">
        <v>87</v>
      </c>
      <c r="Y18" s="79">
        <f>Y12*68+Y13*73+Y14*24+Y15*60+Y16*112+Y17*45</f>
        <v>108</v>
      </c>
      <c r="Z18" s="80" t="s">
        <v>66</v>
      </c>
      <c r="AA18" s="81"/>
      <c r="AB18" s="81"/>
      <c r="AC18" s="81"/>
      <c r="AD18" s="82"/>
    </row>
    <row r="19" spans="1:30" ht="16.149999999999999" customHeight="1" thickBot="1" x14ac:dyDescent="0.3">
      <c r="A19" s="237">
        <f>A11+1</f>
        <v>44013</v>
      </c>
      <c r="B19" s="239" t="s">
        <v>191</v>
      </c>
      <c r="C19" s="240"/>
      <c r="D19" s="259" t="s">
        <v>192</v>
      </c>
      <c r="E19" s="240"/>
      <c r="F19" s="259" t="s">
        <v>89</v>
      </c>
      <c r="G19" s="240"/>
      <c r="H19" s="239" t="s">
        <v>90</v>
      </c>
      <c r="I19" s="244"/>
      <c r="J19" s="242" t="s">
        <v>91</v>
      </c>
      <c r="K19" s="243"/>
      <c r="L19" s="246" t="s">
        <v>92</v>
      </c>
      <c r="M19" s="247"/>
      <c r="N19" s="24" t="s">
        <v>60</v>
      </c>
      <c r="O19" s="248" t="s">
        <v>68</v>
      </c>
      <c r="P19" s="249"/>
      <c r="Q19" s="250"/>
      <c r="R19" s="251" t="s">
        <v>69</v>
      </c>
      <c r="S19" s="252"/>
      <c r="T19" s="252"/>
      <c r="U19" s="253"/>
      <c r="W19" s="24" t="s">
        <v>60</v>
      </c>
      <c r="X19" s="248" t="s">
        <v>68</v>
      </c>
      <c r="Y19" s="249"/>
      <c r="Z19" s="250"/>
      <c r="AA19" s="251" t="s">
        <v>69</v>
      </c>
      <c r="AB19" s="252"/>
      <c r="AC19" s="252"/>
      <c r="AD19" s="253"/>
    </row>
    <row r="20" spans="1:30" ht="16.149999999999999" customHeight="1" x14ac:dyDescent="0.25">
      <c r="A20" s="238"/>
      <c r="B20" s="53" t="s">
        <v>93</v>
      </c>
      <c r="C20" s="55">
        <v>65</v>
      </c>
      <c r="D20" s="31" t="s">
        <v>193</v>
      </c>
      <c r="E20" s="32">
        <v>30</v>
      </c>
      <c r="F20" s="106" t="s">
        <v>94</v>
      </c>
      <c r="G20" s="107">
        <v>35</v>
      </c>
      <c r="H20" s="36" t="s">
        <v>95</v>
      </c>
      <c r="I20" s="37">
        <v>120</v>
      </c>
      <c r="J20" s="87" t="s">
        <v>96</v>
      </c>
      <c r="K20" s="88">
        <v>10</v>
      </c>
      <c r="L20" s="38" t="s">
        <v>97</v>
      </c>
      <c r="M20" s="39">
        <v>140</v>
      </c>
      <c r="N20" s="40" t="e">
        <f>S21</f>
        <v>#REF!</v>
      </c>
      <c r="O20" s="25" t="s">
        <v>61</v>
      </c>
      <c r="P20" s="68">
        <f>K22/35+M20/20</f>
        <v>7.1428571428571432</v>
      </c>
      <c r="Q20" s="27" t="s">
        <v>63</v>
      </c>
      <c r="R20" s="89" t="s">
        <v>64</v>
      </c>
      <c r="S20" s="90" t="e">
        <f>P26</f>
        <v>#REF!</v>
      </c>
      <c r="T20" s="91" t="s">
        <v>66</v>
      </c>
      <c r="U20" s="108"/>
      <c r="W20" s="40">
        <f>AB21</f>
        <v>122</v>
      </c>
      <c r="X20" s="25" t="s">
        <v>61</v>
      </c>
      <c r="Y20" s="26">
        <f>M20/20+E20/50</f>
        <v>7.6</v>
      </c>
      <c r="Z20" s="27" t="s">
        <v>63</v>
      </c>
      <c r="AA20" s="89" t="s">
        <v>64</v>
      </c>
      <c r="AB20" s="90">
        <f>Y26</f>
        <v>866.08311688311676</v>
      </c>
      <c r="AC20" s="91" t="s">
        <v>66</v>
      </c>
      <c r="AD20" s="108"/>
    </row>
    <row r="21" spans="1:30" ht="16.149999999999999" customHeight="1" x14ac:dyDescent="0.25">
      <c r="A21" s="238"/>
      <c r="B21" s="69" t="s">
        <v>98</v>
      </c>
      <c r="C21" s="70">
        <v>15</v>
      </c>
      <c r="D21" s="56" t="s">
        <v>194</v>
      </c>
      <c r="E21" s="49">
        <v>0.5</v>
      </c>
      <c r="F21" s="109" t="s">
        <v>99</v>
      </c>
      <c r="G21" s="110">
        <v>5</v>
      </c>
      <c r="H21" s="53"/>
      <c r="I21" s="54"/>
      <c r="J21" s="69" t="s">
        <v>100</v>
      </c>
      <c r="K21" s="70">
        <v>15</v>
      </c>
      <c r="L21" s="56"/>
      <c r="M21" s="57"/>
      <c r="N21" s="58" t="s">
        <v>74</v>
      </c>
      <c r="O21" s="41" t="s">
        <v>70</v>
      </c>
      <c r="P21" s="42" t="e">
        <f>C20*0.68/40+#REF!/35+#REF!/35+E29/15+K23/60</f>
        <v>#REF!</v>
      </c>
      <c r="Q21" s="43" t="s">
        <v>63</v>
      </c>
      <c r="R21" s="44" t="s">
        <v>71</v>
      </c>
      <c r="S21" s="45" t="e">
        <f>P20*15+P22*5+P23*15+P24*12</f>
        <v>#REF!</v>
      </c>
      <c r="T21" s="43" t="s">
        <v>73</v>
      </c>
      <c r="U21" s="46" t="e">
        <f>S21*4/S20</f>
        <v>#REF!</v>
      </c>
      <c r="W21" s="58" t="s">
        <v>74</v>
      </c>
      <c r="X21" s="41" t="s">
        <v>70</v>
      </c>
      <c r="Y21" s="42">
        <f>C20/35+G20/55+K20/35</f>
        <v>2.779220779220779</v>
      </c>
      <c r="Z21" s="43" t="s">
        <v>63</v>
      </c>
      <c r="AA21" s="44" t="s">
        <v>71</v>
      </c>
      <c r="AB21" s="45">
        <f>Y20*15+Y22*5+Y23*15+Y24*12</f>
        <v>122</v>
      </c>
      <c r="AC21" s="43" t="s">
        <v>73</v>
      </c>
      <c r="AD21" s="46">
        <f>AB21*4/AB20</f>
        <v>0.56345631324188328</v>
      </c>
    </row>
    <row r="22" spans="1:30" ht="16.149999999999999" customHeight="1" x14ac:dyDescent="0.25">
      <c r="A22" s="238"/>
      <c r="B22" s="53" t="s">
        <v>101</v>
      </c>
      <c r="C22" s="55">
        <v>1</v>
      </c>
      <c r="D22" s="56"/>
      <c r="E22" s="49"/>
      <c r="F22" s="109" t="s">
        <v>102</v>
      </c>
      <c r="G22" s="110">
        <v>5</v>
      </c>
      <c r="H22" s="63"/>
      <c r="I22" s="55"/>
      <c r="J22" s="69" t="s">
        <v>103</v>
      </c>
      <c r="K22" s="70">
        <v>5</v>
      </c>
      <c r="L22" s="56"/>
      <c r="M22" s="57"/>
      <c r="N22" s="40" t="e">
        <f>S22</f>
        <v>#REF!</v>
      </c>
      <c r="O22" s="59" t="s">
        <v>76</v>
      </c>
      <c r="P22" s="42" t="e">
        <f>(#REF!+E28+#REF!+I20+K20+K21)/100</f>
        <v>#REF!</v>
      </c>
      <c r="Q22" s="43" t="s">
        <v>63</v>
      </c>
      <c r="R22" s="44" t="s">
        <v>78</v>
      </c>
      <c r="S22" s="45" t="e">
        <f>P21*5+P24*4+P25*5</f>
        <v>#REF!</v>
      </c>
      <c r="T22" s="43" t="s">
        <v>73</v>
      </c>
      <c r="U22" s="46" t="e">
        <f>S22*9/S20</f>
        <v>#REF!</v>
      </c>
      <c r="W22" s="40">
        <f>AB22</f>
        <v>25.896103896103895</v>
      </c>
      <c r="X22" s="59" t="s">
        <v>76</v>
      </c>
      <c r="Y22" s="42">
        <f>(C21+G22+G21+I20+K21+K223)/100</f>
        <v>1.6</v>
      </c>
      <c r="Z22" s="43" t="s">
        <v>63</v>
      </c>
      <c r="AA22" s="44" t="s">
        <v>78</v>
      </c>
      <c r="AB22" s="45">
        <f>Y21*5+Y24*4+Y25*5</f>
        <v>25.896103896103895</v>
      </c>
      <c r="AC22" s="43" t="s">
        <v>73</v>
      </c>
      <c r="AD22" s="46">
        <f>AB22*9/AB20</f>
        <v>0.26910227265911318</v>
      </c>
    </row>
    <row r="23" spans="1:30" ht="16.149999999999999" customHeight="1" x14ac:dyDescent="0.25">
      <c r="A23" s="238"/>
      <c r="B23" s="101" t="s">
        <v>104</v>
      </c>
      <c r="C23" s="55">
        <v>1</v>
      </c>
      <c r="D23" s="61"/>
      <c r="E23" s="62"/>
      <c r="F23" s="56" t="s">
        <v>105</v>
      </c>
      <c r="G23" s="57">
        <v>3</v>
      </c>
      <c r="H23" s="63"/>
      <c r="I23" s="55"/>
      <c r="J23" s="111"/>
      <c r="K23" s="57"/>
      <c r="L23" s="56"/>
      <c r="M23" s="57"/>
      <c r="N23" s="58" t="s">
        <v>81</v>
      </c>
      <c r="O23" s="67" t="s">
        <v>79</v>
      </c>
      <c r="P23" s="68">
        <v>0</v>
      </c>
      <c r="Q23" s="43" t="s">
        <v>63</v>
      </c>
      <c r="R23" s="44" t="s">
        <v>80</v>
      </c>
      <c r="S23" s="45" t="e">
        <f>P20*2+P21*7+P22*1+P24*8</f>
        <v>#REF!</v>
      </c>
      <c r="T23" s="43" t="s">
        <v>73</v>
      </c>
      <c r="U23" s="46" t="e">
        <f>S23*4/S20</f>
        <v>#REF!</v>
      </c>
      <c r="W23" s="58" t="s">
        <v>81</v>
      </c>
      <c r="X23" s="71" t="s">
        <v>79</v>
      </c>
      <c r="Y23" s="68">
        <v>0</v>
      </c>
      <c r="Z23" s="43" t="s">
        <v>63</v>
      </c>
      <c r="AA23" s="44" t="s">
        <v>80</v>
      </c>
      <c r="AB23" s="45">
        <f>Y20*2+Y21*7+Y22*1+Y24*8</f>
        <v>36.254545454545458</v>
      </c>
      <c r="AC23" s="43" t="s">
        <v>73</v>
      </c>
      <c r="AD23" s="46">
        <f>AB23*4/AB20</f>
        <v>0.16744141409900376</v>
      </c>
    </row>
    <row r="24" spans="1:30" ht="16.149999999999999" customHeight="1" x14ac:dyDescent="0.25">
      <c r="A24" s="238" t="s">
        <v>106</v>
      </c>
      <c r="B24" s="101"/>
      <c r="C24" s="102"/>
      <c r="D24" s="61"/>
      <c r="E24" s="62"/>
      <c r="F24" s="66"/>
      <c r="G24" s="57"/>
      <c r="H24" s="63"/>
      <c r="I24" s="55"/>
      <c r="J24" s="1"/>
      <c r="K24" s="57"/>
      <c r="L24" s="56"/>
      <c r="M24" s="57"/>
      <c r="N24" s="40" t="e">
        <f>S23</f>
        <v>#REF!</v>
      </c>
      <c r="O24" s="71" t="s">
        <v>82</v>
      </c>
      <c r="P24" s="68">
        <v>0</v>
      </c>
      <c r="Q24" s="43" t="s">
        <v>63</v>
      </c>
      <c r="R24" s="72"/>
      <c r="S24" s="72"/>
      <c r="T24" s="72"/>
      <c r="U24" s="73" t="e">
        <f>SUM(U21:U23)</f>
        <v>#REF!</v>
      </c>
      <c r="W24" s="40">
        <f>AB23</f>
        <v>36.254545454545458</v>
      </c>
      <c r="X24" s="71" t="s">
        <v>82</v>
      </c>
      <c r="Y24" s="68">
        <v>0</v>
      </c>
      <c r="Z24" s="43" t="s">
        <v>63</v>
      </c>
      <c r="AA24" s="72"/>
      <c r="AB24" s="72"/>
      <c r="AC24" s="72"/>
      <c r="AD24" s="73">
        <f>SUM(AD21:AD23)</f>
        <v>1.0000000000000002</v>
      </c>
    </row>
    <row r="25" spans="1:30" ht="16.149999999999999" customHeight="1" x14ac:dyDescent="0.25">
      <c r="A25" s="238"/>
      <c r="B25" s="101"/>
      <c r="C25" s="102"/>
      <c r="D25" s="61"/>
      <c r="E25" s="62"/>
      <c r="F25" s="66"/>
      <c r="G25" s="57"/>
      <c r="H25" s="63"/>
      <c r="I25" s="55"/>
      <c r="J25" s="1"/>
      <c r="K25" s="112"/>
      <c r="L25" s="113"/>
      <c r="M25" s="114"/>
      <c r="N25" s="58" t="s">
        <v>85</v>
      </c>
      <c r="O25" s="75" t="s">
        <v>84</v>
      </c>
      <c r="P25" s="68">
        <v>2.5</v>
      </c>
      <c r="Q25" s="43" t="s">
        <v>63</v>
      </c>
      <c r="R25" s="76"/>
      <c r="S25" s="76"/>
      <c r="T25" s="76"/>
      <c r="U25" s="77"/>
      <c r="W25" s="58" t="s">
        <v>85</v>
      </c>
      <c r="X25" s="75" t="s">
        <v>84</v>
      </c>
      <c r="Y25" s="68">
        <v>2.4</v>
      </c>
      <c r="Z25" s="43" t="s">
        <v>63</v>
      </c>
      <c r="AA25" s="76"/>
      <c r="AB25" s="76"/>
      <c r="AC25" s="76"/>
      <c r="AD25" s="77"/>
    </row>
    <row r="26" spans="1:30" ht="16.149999999999999" customHeight="1" thickBot="1" x14ac:dyDescent="0.3">
      <c r="A26" s="254"/>
      <c r="B26" s="255" t="s">
        <v>107</v>
      </c>
      <c r="C26" s="256"/>
      <c r="D26" s="255" t="s">
        <v>195</v>
      </c>
      <c r="E26" s="256"/>
      <c r="F26" s="255" t="s">
        <v>109</v>
      </c>
      <c r="G26" s="256"/>
      <c r="H26" s="255" t="s">
        <v>110</v>
      </c>
      <c r="I26" s="256"/>
      <c r="J26" s="255" t="s">
        <v>111</v>
      </c>
      <c r="K26" s="256"/>
      <c r="L26" s="255" t="s">
        <v>112</v>
      </c>
      <c r="M26" s="256"/>
      <c r="N26" s="83" t="e">
        <f>P26</f>
        <v>#REF!</v>
      </c>
      <c r="O26" s="78" t="s">
        <v>87</v>
      </c>
      <c r="P26" s="79" t="e">
        <f>P20*68+P21*73+P22*24+P23*60+P24*112+P25*45</f>
        <v>#REF!</v>
      </c>
      <c r="Q26" s="80" t="s">
        <v>66</v>
      </c>
      <c r="R26" s="81"/>
      <c r="S26" s="81"/>
      <c r="T26" s="81"/>
      <c r="U26" s="82"/>
      <c r="W26" s="83">
        <f>Y26</f>
        <v>866.08311688311676</v>
      </c>
      <c r="X26" s="78" t="s">
        <v>87</v>
      </c>
      <c r="Y26" s="79">
        <f>Y20*68+Y21*73+Y22*24+Y23*60+Y24*112+Y25*45</f>
        <v>866.08311688311676</v>
      </c>
      <c r="Z26" s="80" t="s">
        <v>66</v>
      </c>
      <c r="AA26" s="81"/>
      <c r="AB26" s="81"/>
      <c r="AC26" s="81"/>
      <c r="AD26" s="82"/>
    </row>
    <row r="27" spans="1:30" ht="16.149999999999999" customHeight="1" thickBot="1" x14ac:dyDescent="0.3">
      <c r="A27" s="237">
        <f>A19+1</f>
        <v>44014</v>
      </c>
      <c r="B27" s="242" t="s">
        <v>196</v>
      </c>
      <c r="C27" s="243"/>
      <c r="D27" s="239" t="s">
        <v>113</v>
      </c>
      <c r="E27" s="240"/>
      <c r="F27" s="239" t="s">
        <v>114</v>
      </c>
      <c r="G27" s="240"/>
      <c r="H27" s="239" t="s">
        <v>90</v>
      </c>
      <c r="I27" s="244"/>
      <c r="J27" s="239" t="s">
        <v>115</v>
      </c>
      <c r="K27" s="262"/>
      <c r="L27" s="246" t="s">
        <v>116</v>
      </c>
      <c r="M27" s="247"/>
      <c r="N27" s="24" t="s">
        <v>60</v>
      </c>
      <c r="O27" s="248" t="s">
        <v>68</v>
      </c>
      <c r="P27" s="249"/>
      <c r="Q27" s="250"/>
      <c r="R27" s="251" t="s">
        <v>69</v>
      </c>
      <c r="S27" s="252"/>
      <c r="T27" s="252"/>
      <c r="U27" s="253"/>
      <c r="W27" s="24" t="s">
        <v>60</v>
      </c>
      <c r="X27" s="248" t="s">
        <v>68</v>
      </c>
      <c r="Y27" s="249"/>
      <c r="Z27" s="250"/>
      <c r="AA27" s="251" t="s">
        <v>69</v>
      </c>
      <c r="AB27" s="252"/>
      <c r="AC27" s="252"/>
      <c r="AD27" s="253"/>
    </row>
    <row r="28" spans="1:30" ht="16.149999999999999" customHeight="1" x14ac:dyDescent="0.25">
      <c r="A28" s="238"/>
      <c r="B28" s="53" t="s">
        <v>197</v>
      </c>
      <c r="C28" s="57">
        <v>150</v>
      </c>
      <c r="D28" s="31" t="s">
        <v>117</v>
      </c>
      <c r="E28" s="115">
        <v>20</v>
      </c>
      <c r="F28" s="109" t="s">
        <v>118</v>
      </c>
      <c r="G28" s="116">
        <v>30</v>
      </c>
      <c r="H28" s="36" t="s">
        <v>119</v>
      </c>
      <c r="I28" s="37">
        <v>120</v>
      </c>
      <c r="J28" s="117" t="s">
        <v>120</v>
      </c>
      <c r="K28" s="88">
        <v>10</v>
      </c>
      <c r="L28" s="38" t="s">
        <v>97</v>
      </c>
      <c r="M28" s="39">
        <v>140</v>
      </c>
      <c r="N28" s="40">
        <f>S29</f>
        <v>114.68571428571428</v>
      </c>
      <c r="O28" s="25" t="s">
        <v>61</v>
      </c>
      <c r="P28" s="68">
        <f>G23/35+M28/20</f>
        <v>7.0857142857142854</v>
      </c>
      <c r="Q28" s="27" t="s">
        <v>63</v>
      </c>
      <c r="R28" s="89" t="s">
        <v>64</v>
      </c>
      <c r="S28" s="90" t="e">
        <f>P34</f>
        <v>#REF!</v>
      </c>
      <c r="T28" s="91" t="s">
        <v>66</v>
      </c>
      <c r="U28" s="92" t="s">
        <v>67</v>
      </c>
      <c r="W28" s="40">
        <f>AB29</f>
        <v>122.26470588235293</v>
      </c>
      <c r="X28" s="25" t="s">
        <v>61</v>
      </c>
      <c r="Y28" s="26">
        <f>M28/20+M29/85+G28/60</f>
        <v>7.617647058823529</v>
      </c>
      <c r="Z28" s="27" t="s">
        <v>63</v>
      </c>
      <c r="AA28" s="89" t="s">
        <v>64</v>
      </c>
      <c r="AB28" s="90">
        <f>Y34</f>
        <v>866.19285714285718</v>
      </c>
      <c r="AC28" s="91" t="s">
        <v>66</v>
      </c>
      <c r="AD28" s="92" t="s">
        <v>67</v>
      </c>
    </row>
    <row r="29" spans="1:30" ht="16.149999999999999" customHeight="1" x14ac:dyDescent="0.25">
      <c r="A29" s="238"/>
      <c r="B29" s="118" t="s">
        <v>121</v>
      </c>
      <c r="C29" s="119">
        <v>0.4</v>
      </c>
      <c r="D29" s="56" t="s">
        <v>96</v>
      </c>
      <c r="E29" s="57">
        <v>10</v>
      </c>
      <c r="F29" s="109"/>
      <c r="G29" s="57"/>
      <c r="H29" s="53"/>
      <c r="I29" s="54"/>
      <c r="J29" s="103" t="s">
        <v>122</v>
      </c>
      <c r="K29" s="70">
        <v>10</v>
      </c>
      <c r="L29" s="56" t="s">
        <v>123</v>
      </c>
      <c r="M29" s="57">
        <v>10</v>
      </c>
      <c r="N29" s="58" t="s">
        <v>74</v>
      </c>
      <c r="O29" s="41" t="s">
        <v>70</v>
      </c>
      <c r="P29" s="42" t="e">
        <f>C28/35+#REF!/80+#REF!/35</f>
        <v>#REF!</v>
      </c>
      <c r="Q29" s="43" t="s">
        <v>63</v>
      </c>
      <c r="R29" s="44" t="s">
        <v>71</v>
      </c>
      <c r="S29" s="45">
        <f>P28*15+P30*5+P31*15+P32*12</f>
        <v>114.68571428571428</v>
      </c>
      <c r="T29" s="43" t="s">
        <v>73</v>
      </c>
      <c r="U29" s="46" t="e">
        <f>S29*4/S28</f>
        <v>#REF!</v>
      </c>
      <c r="W29" s="58" t="s">
        <v>74</v>
      </c>
      <c r="X29" s="41" t="s">
        <v>70</v>
      </c>
      <c r="Y29" s="42">
        <f>C28*0.6/40+E29/35+M31/35</f>
        <v>2.7642857142857142</v>
      </c>
      <c r="Z29" s="43" t="s">
        <v>63</v>
      </c>
      <c r="AA29" s="44" t="s">
        <v>71</v>
      </c>
      <c r="AB29" s="45">
        <f>Y28*15+Y30*5+Y31*15+Y32*12</f>
        <v>122.26470588235293</v>
      </c>
      <c r="AC29" s="43" t="s">
        <v>73</v>
      </c>
      <c r="AD29" s="46">
        <f>AB29*4/AB28</f>
        <v>0.56460731521450713</v>
      </c>
    </row>
    <row r="30" spans="1:30" ht="16.149999999999999" customHeight="1" x14ac:dyDescent="0.25">
      <c r="A30" s="238"/>
      <c r="B30" s="56"/>
      <c r="C30" s="49"/>
      <c r="D30" s="53" t="s">
        <v>103</v>
      </c>
      <c r="E30" s="57">
        <v>5</v>
      </c>
      <c r="F30" s="53"/>
      <c r="G30" s="55"/>
      <c r="H30" s="63"/>
      <c r="I30" s="55"/>
      <c r="J30" s="120"/>
      <c r="K30" s="55"/>
      <c r="L30" s="66" t="s">
        <v>124</v>
      </c>
      <c r="M30" s="114">
        <v>8</v>
      </c>
      <c r="N30" s="40" t="e">
        <f>S30</f>
        <v>#REF!</v>
      </c>
      <c r="O30" s="59" t="s">
        <v>75</v>
      </c>
      <c r="P30" s="42">
        <f>(G20+G21+G22+E31+I28+K12+K13+K14)/100</f>
        <v>1.68</v>
      </c>
      <c r="Q30" s="43" t="s">
        <v>62</v>
      </c>
      <c r="R30" s="44" t="s">
        <v>77</v>
      </c>
      <c r="S30" s="45" t="e">
        <f>P29*5+P32*4+P33*5</f>
        <v>#REF!</v>
      </c>
      <c r="T30" s="43" t="s">
        <v>72</v>
      </c>
      <c r="U30" s="46" t="e">
        <f>S30*9/S28</f>
        <v>#REF!</v>
      </c>
      <c r="W30" s="40">
        <f>AB30</f>
        <v>25.821428571428569</v>
      </c>
      <c r="X30" s="59" t="s">
        <v>76</v>
      </c>
      <c r="Y30" s="42">
        <f>(E28+E30+E31+I28+M30+M32)/100</f>
        <v>1.6</v>
      </c>
      <c r="Z30" s="43" t="s">
        <v>63</v>
      </c>
      <c r="AA30" s="44" t="s">
        <v>78</v>
      </c>
      <c r="AB30" s="45">
        <f>Y29*5+Y32*4+Y33*5</f>
        <v>25.821428571428569</v>
      </c>
      <c r="AC30" s="43" t="s">
        <v>73</v>
      </c>
      <c r="AD30" s="46">
        <f>AB30*9/AB28</f>
        <v>0.26829228066992666</v>
      </c>
    </row>
    <row r="31" spans="1:30" ht="16.149999999999999" customHeight="1" x14ac:dyDescent="0.25">
      <c r="A31" s="238"/>
      <c r="B31" s="53"/>
      <c r="C31" s="49"/>
      <c r="D31" s="121" t="s">
        <v>125</v>
      </c>
      <c r="E31" s="122">
        <v>3</v>
      </c>
      <c r="F31" s="123"/>
      <c r="G31" s="124"/>
      <c r="H31" s="63"/>
      <c r="I31" s="55"/>
      <c r="J31" s="103"/>
      <c r="K31" s="70"/>
      <c r="L31" s="125" t="s">
        <v>96</v>
      </c>
      <c r="M31" s="114">
        <v>8</v>
      </c>
      <c r="N31" s="58" t="s">
        <v>81</v>
      </c>
      <c r="O31" s="67" t="s">
        <v>79</v>
      </c>
      <c r="P31" s="68">
        <v>0</v>
      </c>
      <c r="Q31" s="43" t="s">
        <v>63</v>
      </c>
      <c r="R31" s="44" t="s">
        <v>80</v>
      </c>
      <c r="S31" s="45" t="e">
        <f>P28*2+P29*7+P30*1+P32*8</f>
        <v>#REF!</v>
      </c>
      <c r="T31" s="43" t="s">
        <v>73</v>
      </c>
      <c r="U31" s="46" t="e">
        <f>S31*4/S28</f>
        <v>#REF!</v>
      </c>
      <c r="W31" s="58" t="s">
        <v>81</v>
      </c>
      <c r="X31" s="71" t="s">
        <v>79</v>
      </c>
      <c r="Y31" s="68">
        <v>0</v>
      </c>
      <c r="Z31" s="43" t="s">
        <v>63</v>
      </c>
      <c r="AA31" s="44" t="s">
        <v>80</v>
      </c>
      <c r="AB31" s="45">
        <f>Y28*2+Y29*7+Y30*1+Y32*8</f>
        <v>36.185294117647061</v>
      </c>
      <c r="AC31" s="43" t="s">
        <v>73</v>
      </c>
      <c r="AD31" s="46">
        <f>AB31*4/AB28</f>
        <v>0.16710040411556609</v>
      </c>
    </row>
    <row r="32" spans="1:30" ht="16.149999999999999" customHeight="1" x14ac:dyDescent="0.25">
      <c r="A32" s="238" t="s">
        <v>126</v>
      </c>
      <c r="B32" s="53"/>
      <c r="C32" s="55"/>
      <c r="D32" s="104"/>
      <c r="E32" s="126"/>
      <c r="F32" s="53"/>
      <c r="G32" s="127"/>
      <c r="H32" s="63"/>
      <c r="I32" s="55"/>
      <c r="J32" s="128"/>
      <c r="K32" s="129"/>
      <c r="L32" s="66" t="s">
        <v>127</v>
      </c>
      <c r="M32" s="114">
        <v>4</v>
      </c>
      <c r="N32" s="40" t="e">
        <f>S31</f>
        <v>#REF!</v>
      </c>
      <c r="O32" s="71" t="s">
        <v>82</v>
      </c>
      <c r="P32" s="68">
        <v>0</v>
      </c>
      <c r="Q32" s="43" t="s">
        <v>63</v>
      </c>
      <c r="R32" s="72"/>
      <c r="S32" s="72"/>
      <c r="T32" s="72"/>
      <c r="U32" s="73" t="e">
        <f>SUM(U29:U31)</f>
        <v>#REF!</v>
      </c>
      <c r="W32" s="40">
        <f>AB31</f>
        <v>36.185294117647061</v>
      </c>
      <c r="X32" s="71" t="s">
        <v>82</v>
      </c>
      <c r="Y32" s="68">
        <v>0</v>
      </c>
      <c r="Z32" s="43" t="s">
        <v>63</v>
      </c>
      <c r="AA32" s="72"/>
      <c r="AB32" s="72"/>
      <c r="AC32" s="72"/>
      <c r="AD32" s="73">
        <f>SUM(AD29:AD31)</f>
        <v>1</v>
      </c>
    </row>
    <row r="33" spans="1:30" ht="16.149999999999999" customHeight="1" x14ac:dyDescent="0.25">
      <c r="A33" s="238"/>
      <c r="B33" s="63"/>
      <c r="C33" s="55"/>
      <c r="D33" s="61"/>
      <c r="E33" s="105"/>
      <c r="F33" s="61"/>
      <c r="G33" s="62"/>
      <c r="H33" s="63"/>
      <c r="I33" s="55"/>
      <c r="J33" s="130"/>
      <c r="K33" s="129"/>
      <c r="L33" s="56" t="s">
        <v>128</v>
      </c>
      <c r="M33" s="127">
        <v>1</v>
      </c>
      <c r="N33" s="58" t="s">
        <v>85</v>
      </c>
      <c r="O33" s="75" t="s">
        <v>84</v>
      </c>
      <c r="P33" s="68">
        <v>2.5</v>
      </c>
      <c r="Q33" s="43" t="s">
        <v>63</v>
      </c>
      <c r="R33" s="76"/>
      <c r="S33" s="76"/>
      <c r="T33" s="76"/>
      <c r="U33" s="77"/>
      <c r="W33" s="58" t="s">
        <v>85</v>
      </c>
      <c r="X33" s="75" t="s">
        <v>84</v>
      </c>
      <c r="Y33" s="68">
        <v>2.4</v>
      </c>
      <c r="Z33" s="43" t="s">
        <v>63</v>
      </c>
      <c r="AA33" s="76"/>
      <c r="AB33" s="76"/>
      <c r="AC33" s="76"/>
      <c r="AD33" s="77"/>
    </row>
    <row r="34" spans="1:30" ht="16.149999999999999" customHeight="1" thickBot="1" x14ac:dyDescent="0.3">
      <c r="A34" s="254"/>
      <c r="B34" s="255" t="s">
        <v>108</v>
      </c>
      <c r="C34" s="256"/>
      <c r="D34" s="255" t="s">
        <v>109</v>
      </c>
      <c r="E34" s="256"/>
      <c r="F34" s="255" t="s">
        <v>129</v>
      </c>
      <c r="G34" s="256"/>
      <c r="H34" s="255" t="s">
        <v>110</v>
      </c>
      <c r="I34" s="256"/>
      <c r="J34" s="255" t="s">
        <v>111</v>
      </c>
      <c r="K34" s="256"/>
      <c r="L34" s="255" t="s">
        <v>109</v>
      </c>
      <c r="M34" s="256"/>
      <c r="N34" s="83" t="e">
        <f>P34</f>
        <v>#REF!</v>
      </c>
      <c r="O34" s="78" t="s">
        <v>87</v>
      </c>
      <c r="P34" s="79" t="e">
        <f>P28*68+P29*73+P30*24+P31*60+P32*112+P33*45</f>
        <v>#REF!</v>
      </c>
      <c r="Q34" s="80" t="s">
        <v>66</v>
      </c>
      <c r="R34" s="81"/>
      <c r="S34" s="81"/>
      <c r="T34" s="81"/>
      <c r="U34" s="82"/>
      <c r="W34" s="83">
        <f>Y34</f>
        <v>866.19285714285718</v>
      </c>
      <c r="X34" s="78" t="s">
        <v>87</v>
      </c>
      <c r="Y34" s="79">
        <f>Y28*68+Y29*73+Y30*24+Y31*60+Y32*112+Y33*45</f>
        <v>866.19285714285718</v>
      </c>
      <c r="Z34" s="80" t="s">
        <v>66</v>
      </c>
      <c r="AA34" s="81"/>
      <c r="AB34" s="81"/>
      <c r="AC34" s="81"/>
      <c r="AD34" s="82"/>
    </row>
    <row r="35" spans="1:30" x14ac:dyDescent="0.25">
      <c r="A35" s="263" t="s">
        <v>131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</row>
    <row r="36" spans="1:30" ht="16.149999999999999" customHeight="1" x14ac:dyDescent="0.25">
      <c r="A36" s="265" t="s">
        <v>133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</row>
    <row r="37" spans="1:30" x14ac:dyDescent="0.25">
      <c r="A37" s="266" t="s">
        <v>135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</row>
    <row r="38" spans="1:30" ht="16.149999999999999" customHeight="1" x14ac:dyDescent="0.25">
      <c r="A38" s="267" t="s">
        <v>137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</row>
    <row r="39" spans="1:30" x14ac:dyDescent="0.25">
      <c r="A39" s="268" t="s">
        <v>139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</row>
    <row r="40" spans="1:30" ht="21.75" thickBot="1" x14ac:dyDescent="0.3">
      <c r="A40" s="233" t="s">
        <v>140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4"/>
    </row>
    <row r="41" spans="1:30" ht="35.25" thickBot="1" x14ac:dyDescent="0.3">
      <c r="A41" s="131" t="s">
        <v>52</v>
      </c>
      <c r="B41" s="132" t="s">
        <v>53</v>
      </c>
      <c r="C41" s="23" t="s">
        <v>54</v>
      </c>
      <c r="D41" s="132" t="s">
        <v>55</v>
      </c>
      <c r="E41" s="23" t="s">
        <v>54</v>
      </c>
      <c r="F41" s="132" t="s">
        <v>55</v>
      </c>
      <c r="G41" s="23" t="s">
        <v>54</v>
      </c>
      <c r="H41" s="22" t="s">
        <v>141</v>
      </c>
      <c r="I41" s="23" t="s">
        <v>54</v>
      </c>
      <c r="J41" s="132" t="s">
        <v>56</v>
      </c>
      <c r="K41" s="23" t="s">
        <v>54</v>
      </c>
      <c r="L41" s="132" t="s">
        <v>57</v>
      </c>
      <c r="M41" s="23" t="s">
        <v>54</v>
      </c>
      <c r="N41" s="23" t="s">
        <v>58</v>
      </c>
      <c r="O41" s="234" t="s">
        <v>59</v>
      </c>
      <c r="P41" s="235"/>
      <c r="Q41" s="235"/>
      <c r="R41" s="235"/>
      <c r="S41" s="235"/>
      <c r="T41" s="235"/>
      <c r="U41" s="236"/>
      <c r="W41" s="23" t="s">
        <v>58</v>
      </c>
      <c r="X41" s="234" t="s">
        <v>59</v>
      </c>
      <c r="Y41" s="235"/>
      <c r="Z41" s="235"/>
      <c r="AA41" s="235"/>
      <c r="AB41" s="235"/>
      <c r="AC41" s="235"/>
      <c r="AD41" s="236"/>
    </row>
    <row r="42" spans="1:30" ht="16.149999999999999" customHeight="1" thickBot="1" x14ac:dyDescent="0.3">
      <c r="A42" s="237">
        <v>44018</v>
      </c>
      <c r="B42" s="239" t="s">
        <v>198</v>
      </c>
      <c r="C42" s="262"/>
      <c r="D42" s="242" t="s">
        <v>200</v>
      </c>
      <c r="E42" s="243"/>
      <c r="F42" s="239" t="s">
        <v>204</v>
      </c>
      <c r="G42" s="262"/>
      <c r="H42" s="239" t="s">
        <v>90</v>
      </c>
      <c r="I42" s="244"/>
      <c r="J42" s="239" t="s">
        <v>142</v>
      </c>
      <c r="K42" s="262"/>
      <c r="L42" s="246" t="s">
        <v>92</v>
      </c>
      <c r="M42" s="247"/>
      <c r="N42" s="24" t="s">
        <v>60</v>
      </c>
      <c r="O42" s="25" t="s">
        <v>61</v>
      </c>
      <c r="P42" s="26">
        <v>0</v>
      </c>
      <c r="Q42" s="27" t="s">
        <v>63</v>
      </c>
      <c r="R42" s="28" t="s">
        <v>64</v>
      </c>
      <c r="S42" s="29">
        <f>P48</f>
        <v>0</v>
      </c>
      <c r="T42" s="27" t="s">
        <v>66</v>
      </c>
      <c r="U42" s="30" t="s">
        <v>67</v>
      </c>
      <c r="W42" s="24" t="s">
        <v>60</v>
      </c>
      <c r="X42" s="248" t="s">
        <v>68</v>
      </c>
      <c r="Y42" s="249"/>
      <c r="Z42" s="250"/>
      <c r="AA42" s="251" t="s">
        <v>69</v>
      </c>
      <c r="AB42" s="252"/>
      <c r="AC42" s="252"/>
      <c r="AD42" s="253"/>
    </row>
    <row r="43" spans="1:30" ht="16.149999999999999" customHeight="1" x14ac:dyDescent="0.25">
      <c r="A43" s="270"/>
      <c r="B43" s="61" t="s">
        <v>143</v>
      </c>
      <c r="C43" s="62">
        <v>55</v>
      </c>
      <c r="D43" s="31" t="s">
        <v>201</v>
      </c>
      <c r="E43" s="115">
        <v>30</v>
      </c>
      <c r="F43" s="63" t="s">
        <v>205</v>
      </c>
      <c r="G43" s="55">
        <v>20</v>
      </c>
      <c r="H43" s="133" t="s">
        <v>144</v>
      </c>
      <c r="I43" s="37">
        <v>130</v>
      </c>
      <c r="J43" s="38" t="s">
        <v>145</v>
      </c>
      <c r="K43" s="39">
        <v>15</v>
      </c>
      <c r="L43" s="38" t="s">
        <v>97</v>
      </c>
      <c r="M43" s="39">
        <v>140</v>
      </c>
      <c r="N43" s="40">
        <f>S43</f>
        <v>0</v>
      </c>
      <c r="O43" s="41" t="s">
        <v>70</v>
      </c>
      <c r="P43" s="42">
        <v>0</v>
      </c>
      <c r="Q43" s="43" t="s">
        <v>63</v>
      </c>
      <c r="R43" s="44" t="s">
        <v>71</v>
      </c>
      <c r="S43" s="45">
        <f>P42*15+P44*5+P45*15+P46*12</f>
        <v>0</v>
      </c>
      <c r="T43" s="43" t="s">
        <v>73</v>
      </c>
      <c r="U43" s="46" t="e">
        <f>S43*4/S42</f>
        <v>#DIV/0!</v>
      </c>
      <c r="W43" s="40">
        <f>AB44</f>
        <v>118.45454545454545</v>
      </c>
      <c r="X43" s="47" t="s">
        <v>61</v>
      </c>
      <c r="Y43" s="26">
        <f>M43/20+G43/55</f>
        <v>7.3636363636363633</v>
      </c>
      <c r="Z43" s="27" t="s">
        <v>63</v>
      </c>
      <c r="AA43" s="28" t="s">
        <v>64</v>
      </c>
      <c r="AB43" s="29">
        <f>Y49</f>
        <v>861.97164502164492</v>
      </c>
      <c r="AC43" s="27" t="s">
        <v>66</v>
      </c>
      <c r="AD43" s="30" t="s">
        <v>67</v>
      </c>
    </row>
    <row r="44" spans="1:30" ht="16.149999999999999" customHeight="1" x14ac:dyDescent="0.25">
      <c r="A44" s="270"/>
      <c r="B44" s="61" t="s">
        <v>199</v>
      </c>
      <c r="C44" s="62">
        <v>10</v>
      </c>
      <c r="D44" s="53" t="s">
        <v>202</v>
      </c>
      <c r="E44" s="57">
        <v>5</v>
      </c>
      <c r="F44" s="36" t="s">
        <v>206</v>
      </c>
      <c r="G44" s="34">
        <v>20</v>
      </c>
      <c r="H44" s="63"/>
      <c r="I44" s="55"/>
      <c r="J44" s="53" t="s">
        <v>103</v>
      </c>
      <c r="K44" s="55">
        <v>5</v>
      </c>
      <c r="L44" s="56"/>
      <c r="M44" s="57"/>
      <c r="N44" s="58" t="s">
        <v>74</v>
      </c>
      <c r="O44" s="59" t="s">
        <v>76</v>
      </c>
      <c r="P44" s="42">
        <v>0</v>
      </c>
      <c r="Q44" s="43" t="s">
        <v>63</v>
      </c>
      <c r="R44" s="44" t="s">
        <v>78</v>
      </c>
      <c r="S44" s="45">
        <f>P43*5+P46*4+P47*5</f>
        <v>0</v>
      </c>
      <c r="T44" s="43" t="s">
        <v>73</v>
      </c>
      <c r="U44" s="46" t="e">
        <f>S44*9/S42</f>
        <v>#DIV/0!</v>
      </c>
      <c r="W44" s="58" t="s">
        <v>74</v>
      </c>
      <c r="X44" s="41" t="s">
        <v>70</v>
      </c>
      <c r="Y44" s="42">
        <f>C43/35+E43/55+G44/35+K45*0.6/35+E44/60</f>
        <v>2.943073593073593</v>
      </c>
      <c r="Z44" s="43" t="s">
        <v>63</v>
      </c>
      <c r="AA44" s="44" t="s">
        <v>71</v>
      </c>
      <c r="AB44" s="45">
        <f>Y43*15+Y45*5+Y46*15+Y47*12</f>
        <v>118.45454545454545</v>
      </c>
      <c r="AC44" s="43" t="s">
        <v>73</v>
      </c>
      <c r="AD44" s="46">
        <f>AB44*4/AB43</f>
        <v>0.54969114651826367</v>
      </c>
    </row>
    <row r="45" spans="1:30" ht="16.149999999999999" customHeight="1" x14ac:dyDescent="0.25">
      <c r="A45" s="270"/>
      <c r="B45" s="69" t="s">
        <v>104</v>
      </c>
      <c r="C45" s="49">
        <v>1</v>
      </c>
      <c r="D45" s="56" t="s">
        <v>203</v>
      </c>
      <c r="E45" s="57">
        <v>0.5</v>
      </c>
      <c r="F45" s="53"/>
      <c r="G45" s="55"/>
      <c r="H45" s="63"/>
      <c r="I45" s="55"/>
      <c r="J45" s="53" t="s">
        <v>147</v>
      </c>
      <c r="K45" s="55">
        <v>10</v>
      </c>
      <c r="L45" s="56"/>
      <c r="M45" s="57"/>
      <c r="N45" s="40">
        <f>S44</f>
        <v>0</v>
      </c>
      <c r="O45" s="67" t="s">
        <v>79</v>
      </c>
      <c r="P45" s="68">
        <v>0</v>
      </c>
      <c r="Q45" s="43" t="s">
        <v>63</v>
      </c>
      <c r="R45" s="44" t="s">
        <v>80</v>
      </c>
      <c r="S45" s="45">
        <f>P42*2+P43*7+P44*1+P46*8</f>
        <v>0</v>
      </c>
      <c r="T45" s="43" t="s">
        <v>73</v>
      </c>
      <c r="U45" s="46" t="e">
        <f>S45*4/S42</f>
        <v>#DIV/0!</v>
      </c>
      <c r="W45" s="40">
        <f>AB45</f>
        <v>26.715367965367964</v>
      </c>
      <c r="X45" s="59" t="s">
        <v>76</v>
      </c>
      <c r="Y45" s="134">
        <f>(C44+I43+K43+K44)/100</f>
        <v>1.6</v>
      </c>
      <c r="Z45" s="43" t="s">
        <v>63</v>
      </c>
      <c r="AA45" s="44" t="s">
        <v>78</v>
      </c>
      <c r="AB45" s="45">
        <f>Y44*5+Y47*4+Y48*5</f>
        <v>26.715367965367964</v>
      </c>
      <c r="AC45" s="43" t="s">
        <v>73</v>
      </c>
      <c r="AD45" s="46">
        <f>AB45*9/AB43</f>
        <v>0.2789399315824061</v>
      </c>
    </row>
    <row r="46" spans="1:30" ht="16.149999999999999" customHeight="1" x14ac:dyDescent="0.25">
      <c r="A46" s="270"/>
      <c r="B46" s="53"/>
      <c r="C46" s="55"/>
      <c r="D46" s="53"/>
      <c r="E46" s="54"/>
      <c r="F46" s="53"/>
      <c r="G46" s="55"/>
      <c r="H46" s="63"/>
      <c r="I46" s="55"/>
      <c r="J46" s="64" t="s">
        <v>121</v>
      </c>
      <c r="K46" s="65">
        <v>0.4</v>
      </c>
      <c r="L46" s="56"/>
      <c r="M46" s="57"/>
      <c r="N46" s="58" t="s">
        <v>81</v>
      </c>
      <c r="O46" s="71" t="s">
        <v>82</v>
      </c>
      <c r="P46" s="68">
        <v>0</v>
      </c>
      <c r="Q46" s="43" t="s">
        <v>63</v>
      </c>
      <c r="R46" s="72"/>
      <c r="S46" s="72"/>
      <c r="T46" s="72"/>
      <c r="U46" s="73" t="e">
        <f>SUM(U43:U45)</f>
        <v>#DIV/0!</v>
      </c>
      <c r="W46" s="58" t="s">
        <v>81</v>
      </c>
      <c r="X46" s="71" t="s">
        <v>79</v>
      </c>
      <c r="Y46" s="68">
        <v>0</v>
      </c>
      <c r="Z46" s="43" t="s">
        <v>63</v>
      </c>
      <c r="AA46" s="44" t="s">
        <v>80</v>
      </c>
      <c r="AB46" s="45">
        <f>Y43*2+Y44*7+Y45*1+Y47*8</f>
        <v>36.92878787878788</v>
      </c>
      <c r="AC46" s="43" t="s">
        <v>73</v>
      </c>
      <c r="AD46" s="46">
        <f>AB46*4/AB43</f>
        <v>0.17136892189933028</v>
      </c>
    </row>
    <row r="47" spans="1:30" ht="16.149999999999999" customHeight="1" x14ac:dyDescent="0.25">
      <c r="A47" s="238" t="s">
        <v>83</v>
      </c>
      <c r="B47" s="135"/>
      <c r="C47" s="136"/>
      <c r="D47" s="53"/>
      <c r="E47" s="54"/>
      <c r="F47" s="137"/>
      <c r="G47" s="55"/>
      <c r="H47" s="63"/>
      <c r="I47" s="55"/>
      <c r="J47" s="63"/>
      <c r="K47" s="57"/>
      <c r="L47" s="56"/>
      <c r="M47" s="57"/>
      <c r="N47" s="40">
        <f>S45</f>
        <v>0</v>
      </c>
      <c r="O47" s="75" t="s">
        <v>84</v>
      </c>
      <c r="P47" s="68">
        <v>0</v>
      </c>
      <c r="Q47" s="43" t="s">
        <v>63</v>
      </c>
      <c r="R47" s="76"/>
      <c r="S47" s="76"/>
      <c r="T47" s="76"/>
      <c r="U47" s="77"/>
      <c r="W47" s="40">
        <f>AB46</f>
        <v>36.92878787878788</v>
      </c>
      <c r="X47" s="71" t="s">
        <v>82</v>
      </c>
      <c r="Y47" s="68">
        <v>0</v>
      </c>
      <c r="Z47" s="43" t="s">
        <v>63</v>
      </c>
      <c r="AA47" s="72"/>
      <c r="AB47" s="72"/>
      <c r="AC47" s="72"/>
      <c r="AD47" s="73">
        <f>SUM(AD44:AD46)</f>
        <v>1</v>
      </c>
    </row>
    <row r="48" spans="1:30" ht="16.149999999999999" customHeight="1" thickBot="1" x14ac:dyDescent="0.3">
      <c r="A48" s="238"/>
      <c r="B48" s="61"/>
      <c r="C48" s="62"/>
      <c r="D48" s="66"/>
      <c r="E48" s="57"/>
      <c r="F48" s="66"/>
      <c r="G48" s="57"/>
      <c r="H48" s="63"/>
      <c r="I48" s="55"/>
      <c r="J48" s="63"/>
      <c r="K48" s="55"/>
      <c r="L48" s="113"/>
      <c r="M48" s="114"/>
      <c r="N48" s="58" t="s">
        <v>85</v>
      </c>
      <c r="O48" s="78" t="s">
        <v>87</v>
      </c>
      <c r="P48" s="79">
        <f>P42*68+P43*73+P44*24+P45*60+P46*112+P47*45</f>
        <v>0</v>
      </c>
      <c r="Q48" s="80" t="s">
        <v>66</v>
      </c>
      <c r="R48" s="81"/>
      <c r="S48" s="81"/>
      <c r="T48" s="81"/>
      <c r="U48" s="82"/>
      <c r="W48" s="58" t="s">
        <v>85</v>
      </c>
      <c r="X48" s="75" t="s">
        <v>84</v>
      </c>
      <c r="Y48" s="68">
        <v>2.4</v>
      </c>
      <c r="Z48" s="43" t="s">
        <v>63</v>
      </c>
      <c r="AA48" s="76"/>
      <c r="AB48" s="76"/>
      <c r="AC48" s="76"/>
      <c r="AD48" s="77"/>
    </row>
    <row r="49" spans="1:30" ht="16.149999999999999" customHeight="1" thickBot="1" x14ac:dyDescent="0.3">
      <c r="A49" s="254"/>
      <c r="B49" s="255" t="s">
        <v>208</v>
      </c>
      <c r="C49" s="256"/>
      <c r="D49" s="255" t="s">
        <v>195</v>
      </c>
      <c r="E49" s="256"/>
      <c r="F49" s="255" t="s">
        <v>207</v>
      </c>
      <c r="G49" s="256"/>
      <c r="H49" s="271" t="s">
        <v>110</v>
      </c>
      <c r="I49" s="272"/>
      <c r="J49" s="255" t="s">
        <v>111</v>
      </c>
      <c r="K49" s="256"/>
      <c r="L49" s="255" t="s">
        <v>112</v>
      </c>
      <c r="M49" s="256"/>
      <c r="N49" s="83">
        <f>P48</f>
        <v>0</v>
      </c>
      <c r="O49" s="84"/>
      <c r="P49" s="85"/>
      <c r="Q49" s="85"/>
      <c r="R49" s="85"/>
      <c r="S49" s="85"/>
      <c r="T49" s="85"/>
      <c r="U49" s="86"/>
      <c r="W49" s="83">
        <f>Y49</f>
        <v>861.97164502164492</v>
      </c>
      <c r="X49" s="78" t="s">
        <v>87</v>
      </c>
      <c r="Y49" s="79">
        <f>Y43*68+Y44*73+Y45*24+Y46*60+Y47*112+Y48*45</f>
        <v>861.97164502164492</v>
      </c>
      <c r="Z49" s="80" t="s">
        <v>66</v>
      </c>
      <c r="AA49" s="81"/>
      <c r="AB49" s="81"/>
      <c r="AC49" s="81"/>
      <c r="AD49" s="82"/>
    </row>
    <row r="50" spans="1:30" ht="16.149999999999999" customHeight="1" thickBot="1" x14ac:dyDescent="0.3">
      <c r="A50" s="237">
        <f>A42+1</f>
        <v>44019</v>
      </c>
      <c r="B50" s="242" t="s">
        <v>149</v>
      </c>
      <c r="C50" s="243"/>
      <c r="D50" s="239" t="s">
        <v>209</v>
      </c>
      <c r="E50" s="262"/>
      <c r="F50" s="242" t="s">
        <v>150</v>
      </c>
      <c r="G50" s="243"/>
      <c r="H50" s="239" t="s">
        <v>151</v>
      </c>
      <c r="I50" s="244"/>
      <c r="J50" s="239" t="s">
        <v>152</v>
      </c>
      <c r="K50" s="262"/>
      <c r="L50" s="246" t="s">
        <v>92</v>
      </c>
      <c r="M50" s="247"/>
      <c r="N50" s="24" t="s">
        <v>60</v>
      </c>
      <c r="O50" s="248" t="s">
        <v>68</v>
      </c>
      <c r="P50" s="249"/>
      <c r="Q50" s="250"/>
      <c r="R50" s="251" t="s">
        <v>69</v>
      </c>
      <c r="S50" s="252"/>
      <c r="T50" s="252"/>
      <c r="U50" s="253"/>
      <c r="W50" s="24" t="s">
        <v>60</v>
      </c>
      <c r="X50" s="248" t="s">
        <v>68</v>
      </c>
      <c r="Y50" s="249"/>
      <c r="Z50" s="250"/>
      <c r="AA50" s="251" t="s">
        <v>69</v>
      </c>
      <c r="AB50" s="252"/>
      <c r="AC50" s="252"/>
      <c r="AD50" s="253"/>
    </row>
    <row r="51" spans="1:30" ht="16.149999999999999" customHeight="1" x14ac:dyDescent="0.25">
      <c r="A51" s="238"/>
      <c r="B51" s="56" t="s">
        <v>153</v>
      </c>
      <c r="C51" s="49">
        <v>100</v>
      </c>
      <c r="D51" s="31" t="s">
        <v>210</v>
      </c>
      <c r="E51" s="115">
        <v>20</v>
      </c>
      <c r="F51" s="38" t="s">
        <v>154</v>
      </c>
      <c r="G51" s="39">
        <v>45</v>
      </c>
      <c r="H51" s="36" t="s">
        <v>155</v>
      </c>
      <c r="I51" s="37">
        <v>100</v>
      </c>
      <c r="J51" s="38" t="s">
        <v>156</v>
      </c>
      <c r="K51" s="39">
        <v>15</v>
      </c>
      <c r="L51" s="38" t="s">
        <v>97</v>
      </c>
      <c r="M51" s="39">
        <v>150</v>
      </c>
      <c r="N51" s="40">
        <f>S52</f>
        <v>121.5</v>
      </c>
      <c r="O51" s="25" t="s">
        <v>61</v>
      </c>
      <c r="P51" s="68">
        <f>M51/20+M52/55</f>
        <v>7.5</v>
      </c>
      <c r="Q51" s="27" t="s">
        <v>63</v>
      </c>
      <c r="R51" s="89" t="s">
        <v>64</v>
      </c>
      <c r="S51" s="90">
        <f>P57</f>
        <v>920.15082251082254</v>
      </c>
      <c r="T51" s="91" t="s">
        <v>66</v>
      </c>
      <c r="U51" s="92" t="s">
        <v>67</v>
      </c>
      <c r="W51" s="40">
        <f>AB52</f>
        <v>122.8</v>
      </c>
      <c r="X51" s="25" t="s">
        <v>61</v>
      </c>
      <c r="Y51" s="26">
        <f>M51/20</f>
        <v>7.5</v>
      </c>
      <c r="Z51" s="27" t="s">
        <v>63</v>
      </c>
      <c r="AA51" s="89" t="s">
        <v>64</v>
      </c>
      <c r="AB51" s="90">
        <f>Y57</f>
        <v>874.9448701298702</v>
      </c>
      <c r="AC51" s="91" t="s">
        <v>66</v>
      </c>
      <c r="AD51" s="92" t="s">
        <v>67</v>
      </c>
    </row>
    <row r="52" spans="1:30" ht="16.149999999999999" customHeight="1" x14ac:dyDescent="0.25">
      <c r="A52" s="238"/>
      <c r="B52" s="138" t="s">
        <v>121</v>
      </c>
      <c r="C52" s="139">
        <v>0.4</v>
      </c>
      <c r="D52" s="56" t="s">
        <v>211</v>
      </c>
      <c r="E52" s="57">
        <v>15</v>
      </c>
      <c r="F52" s="53" t="s">
        <v>157</v>
      </c>
      <c r="G52" s="55">
        <v>10</v>
      </c>
      <c r="H52" s="53"/>
      <c r="I52" s="54"/>
      <c r="J52" s="53" t="s">
        <v>158</v>
      </c>
      <c r="K52" s="55">
        <v>10</v>
      </c>
      <c r="L52" s="56"/>
      <c r="M52" s="57"/>
      <c r="N52" s="58" t="s">
        <v>74</v>
      </c>
      <c r="O52" s="41" t="s">
        <v>70</v>
      </c>
      <c r="P52" s="42">
        <f>C51/35+E51/80+E52/225+E55/35+G52/55+K52*0.52/40</f>
        <v>3.4856277056277056</v>
      </c>
      <c r="Q52" s="43" t="s">
        <v>63</v>
      </c>
      <c r="R52" s="44" t="s">
        <v>71</v>
      </c>
      <c r="S52" s="45">
        <f>P51*15+P53*5+P54*15+P55*12</f>
        <v>121.5</v>
      </c>
      <c r="T52" s="43" t="s">
        <v>73</v>
      </c>
      <c r="U52" s="46">
        <f>S52*4/S51</f>
        <v>0.52817428198765082</v>
      </c>
      <c r="W52" s="58" t="s">
        <v>74</v>
      </c>
      <c r="X52" s="41" t="s">
        <v>70</v>
      </c>
      <c r="Y52" s="42">
        <f>C51*0.6/30+E52/40+G52/35+K52/55</f>
        <v>2.8425324675324672</v>
      </c>
      <c r="Z52" s="43" t="s">
        <v>63</v>
      </c>
      <c r="AA52" s="44" t="s">
        <v>71</v>
      </c>
      <c r="AB52" s="45">
        <f>Y51*15+Y53*5+Y54*15+Y55*12</f>
        <v>122.8</v>
      </c>
      <c r="AC52" s="43" t="s">
        <v>73</v>
      </c>
      <c r="AD52" s="46">
        <f>AB52*4/AB51</f>
        <v>0.56140680032456214</v>
      </c>
    </row>
    <row r="53" spans="1:30" ht="16.149999999999999" customHeight="1" x14ac:dyDescent="0.25">
      <c r="A53" s="238"/>
      <c r="B53" s="56" t="s">
        <v>98</v>
      </c>
      <c r="C53" s="49">
        <v>5</v>
      </c>
      <c r="D53" s="53" t="s">
        <v>213</v>
      </c>
      <c r="E53" s="57">
        <v>5</v>
      </c>
      <c r="F53" s="53" t="s">
        <v>98</v>
      </c>
      <c r="G53" s="55">
        <v>5</v>
      </c>
      <c r="H53" s="63"/>
      <c r="I53" s="55"/>
      <c r="J53" s="53" t="s">
        <v>103</v>
      </c>
      <c r="K53" s="55">
        <v>5</v>
      </c>
      <c r="L53" s="56"/>
      <c r="M53" s="57"/>
      <c r="N53" s="40">
        <f>S53</f>
        <v>29.928138528138529</v>
      </c>
      <c r="O53" s="59" t="s">
        <v>76</v>
      </c>
      <c r="P53" s="42">
        <f>(E52+E53+G51+I51+I52+K51)/100</f>
        <v>1.8</v>
      </c>
      <c r="Q53" s="43" t="s">
        <v>63</v>
      </c>
      <c r="R53" s="44" t="s">
        <v>78</v>
      </c>
      <c r="S53" s="45">
        <f>P52*5+P55*4+P56*5</f>
        <v>29.928138528138529</v>
      </c>
      <c r="T53" s="43" t="s">
        <v>73</v>
      </c>
      <c r="U53" s="46">
        <f>S53*9/S51</f>
        <v>0.2927272792282688</v>
      </c>
      <c r="W53" s="40">
        <f>AB53</f>
        <v>26.212662337662337</v>
      </c>
      <c r="X53" s="59" t="s">
        <v>76</v>
      </c>
      <c r="Y53" s="42">
        <f>(C53+C54+E51+E53+G51+G53+G54+I51+K51+K53)/100</f>
        <v>2.06</v>
      </c>
      <c r="Z53" s="43" t="s">
        <v>63</v>
      </c>
      <c r="AA53" s="44" t="s">
        <v>78</v>
      </c>
      <c r="AB53" s="45">
        <f>Y52*5+Y55*4+Y56*5</f>
        <v>26.212662337662337</v>
      </c>
      <c r="AC53" s="43" t="s">
        <v>73</v>
      </c>
      <c r="AD53" s="46">
        <f>AB53*9/AB51</f>
        <v>0.26963294384930075</v>
      </c>
    </row>
    <row r="54" spans="1:30" ht="16.149999999999999" customHeight="1" x14ac:dyDescent="0.25">
      <c r="A54" s="238"/>
      <c r="B54" s="56" t="s">
        <v>124</v>
      </c>
      <c r="C54" s="49">
        <v>3</v>
      </c>
      <c r="D54" s="121"/>
      <c r="E54" s="122"/>
      <c r="F54" s="53" t="s">
        <v>159</v>
      </c>
      <c r="G54" s="55">
        <v>3</v>
      </c>
      <c r="H54" s="63"/>
      <c r="I54" s="55"/>
      <c r="J54" s="64"/>
      <c r="K54" s="65"/>
      <c r="L54" s="56"/>
      <c r="M54" s="57"/>
      <c r="N54" s="58" t="s">
        <v>81</v>
      </c>
      <c r="O54" s="67" t="s">
        <v>79</v>
      </c>
      <c r="P54" s="68">
        <v>0</v>
      </c>
      <c r="Q54" s="43" t="s">
        <v>63</v>
      </c>
      <c r="R54" s="44" t="s">
        <v>80</v>
      </c>
      <c r="S54" s="45">
        <f>P51*2+P52*7+P53*1+P55*8</f>
        <v>41.199393939393936</v>
      </c>
      <c r="T54" s="43" t="s">
        <v>73</v>
      </c>
      <c r="U54" s="46">
        <f>S54*4/S51</f>
        <v>0.17909843878408035</v>
      </c>
      <c r="W54" s="58" t="s">
        <v>81</v>
      </c>
      <c r="X54" s="71" t="s">
        <v>79</v>
      </c>
      <c r="Y54" s="68">
        <v>0</v>
      </c>
      <c r="Z54" s="43" t="s">
        <v>63</v>
      </c>
      <c r="AA54" s="44" t="s">
        <v>80</v>
      </c>
      <c r="AB54" s="45">
        <f>Y51*2+Y52*7+Y53*1+Y55*8</f>
        <v>36.957727272727269</v>
      </c>
      <c r="AC54" s="43" t="s">
        <v>73</v>
      </c>
      <c r="AD54" s="46">
        <f>AB54*4/AB51</f>
        <v>0.168960255826137</v>
      </c>
    </row>
    <row r="55" spans="1:30" ht="16.149999999999999" customHeight="1" x14ac:dyDescent="0.25">
      <c r="A55" s="238" t="s">
        <v>88</v>
      </c>
      <c r="B55" s="69" t="s">
        <v>160</v>
      </c>
      <c r="C55" s="70">
        <v>0.5</v>
      </c>
      <c r="D55" s="61"/>
      <c r="E55" s="62"/>
      <c r="F55" s="53" t="s">
        <v>161</v>
      </c>
      <c r="G55" s="55" t="s">
        <v>162</v>
      </c>
      <c r="H55" s="63"/>
      <c r="I55" s="55"/>
      <c r="J55" s="63"/>
      <c r="K55" s="57"/>
      <c r="L55" s="56"/>
      <c r="M55" s="57"/>
      <c r="N55" s="40">
        <f>S54</f>
        <v>41.199393939393936</v>
      </c>
      <c r="O55" s="71" t="s">
        <v>82</v>
      </c>
      <c r="P55" s="68">
        <v>0</v>
      </c>
      <c r="Q55" s="43" t="s">
        <v>63</v>
      </c>
      <c r="R55" s="72"/>
      <c r="S55" s="72"/>
      <c r="T55" s="72"/>
      <c r="U55" s="73">
        <f>SUM(U52:U54)</f>
        <v>1</v>
      </c>
      <c r="W55" s="40">
        <f>AB54</f>
        <v>36.957727272727269</v>
      </c>
      <c r="X55" s="71" t="s">
        <v>82</v>
      </c>
      <c r="Y55" s="68">
        <v>0</v>
      </c>
      <c r="Z55" s="43" t="s">
        <v>63</v>
      </c>
      <c r="AA55" s="72"/>
      <c r="AB55" s="72"/>
      <c r="AC55" s="72"/>
      <c r="AD55" s="73">
        <f>SUM(AD52:AD54)</f>
        <v>0.99999999999999978</v>
      </c>
    </row>
    <row r="56" spans="1:30" ht="16.149999999999999" customHeight="1" x14ac:dyDescent="0.25">
      <c r="A56" s="238"/>
      <c r="B56" s="69"/>
      <c r="C56" s="70"/>
      <c r="D56" s="61"/>
      <c r="E56" s="70"/>
      <c r="F56" s="66"/>
      <c r="G56" s="57"/>
      <c r="H56" s="63"/>
      <c r="I56" s="55"/>
      <c r="J56" s="63"/>
      <c r="K56" s="55"/>
      <c r="L56" s="113"/>
      <c r="M56" s="114"/>
      <c r="N56" s="58" t="s">
        <v>85</v>
      </c>
      <c r="O56" s="75" t="s">
        <v>84</v>
      </c>
      <c r="P56" s="68">
        <v>2.5</v>
      </c>
      <c r="Q56" s="43" t="s">
        <v>63</v>
      </c>
      <c r="R56" s="76"/>
      <c r="S56" s="76"/>
      <c r="T56" s="76"/>
      <c r="U56" s="77"/>
      <c r="W56" s="58" t="s">
        <v>85</v>
      </c>
      <c r="X56" s="75" t="s">
        <v>84</v>
      </c>
      <c r="Y56" s="68">
        <v>2.4</v>
      </c>
      <c r="Z56" s="43" t="s">
        <v>63</v>
      </c>
      <c r="AA56" s="76"/>
      <c r="AB56" s="76"/>
      <c r="AC56" s="76"/>
      <c r="AD56" s="77"/>
    </row>
    <row r="57" spans="1:30" ht="16.149999999999999" customHeight="1" thickBot="1" x14ac:dyDescent="0.3">
      <c r="A57" s="254"/>
      <c r="B57" s="255" t="s">
        <v>109</v>
      </c>
      <c r="C57" s="256"/>
      <c r="D57" s="255" t="s">
        <v>111</v>
      </c>
      <c r="E57" s="256"/>
      <c r="F57" s="255" t="s">
        <v>109</v>
      </c>
      <c r="G57" s="256"/>
      <c r="H57" s="255" t="s">
        <v>110</v>
      </c>
      <c r="I57" s="256"/>
      <c r="J57" s="255" t="s">
        <v>111</v>
      </c>
      <c r="K57" s="256"/>
      <c r="L57" s="255" t="s">
        <v>112</v>
      </c>
      <c r="M57" s="256"/>
      <c r="N57" s="83">
        <f>P57</f>
        <v>920.15082251082254</v>
      </c>
      <c r="O57" s="78" t="s">
        <v>87</v>
      </c>
      <c r="P57" s="79">
        <f>P51*68+P52*73+P53*24+P54*60+P55*112+P56*45</f>
        <v>920.15082251082254</v>
      </c>
      <c r="Q57" s="80" t="s">
        <v>66</v>
      </c>
      <c r="R57" s="81"/>
      <c r="S57" s="81"/>
      <c r="T57" s="81"/>
      <c r="U57" s="82"/>
      <c r="W57" s="83">
        <f>Y57</f>
        <v>874.9448701298702</v>
      </c>
      <c r="X57" s="78" t="s">
        <v>87</v>
      </c>
      <c r="Y57" s="79">
        <f>Y51*68+Y52*73+Y53*24+Y54*60+Y55*112+Y56*45</f>
        <v>874.9448701298702</v>
      </c>
      <c r="Z57" s="80" t="s">
        <v>66</v>
      </c>
      <c r="AA57" s="81"/>
      <c r="AB57" s="81"/>
      <c r="AC57" s="81"/>
      <c r="AD57" s="82"/>
    </row>
    <row r="58" spans="1:30" ht="16.149999999999999" customHeight="1" thickBot="1" x14ac:dyDescent="0.3">
      <c r="A58" s="237">
        <f>A50+1</f>
        <v>44020</v>
      </c>
      <c r="B58" s="239" t="s">
        <v>219</v>
      </c>
      <c r="C58" s="273"/>
      <c r="D58" s="239" t="s">
        <v>220</v>
      </c>
      <c r="E58" s="273"/>
      <c r="F58" s="242" t="s">
        <v>183</v>
      </c>
      <c r="G58" s="243"/>
      <c r="H58" s="239" t="s">
        <v>151</v>
      </c>
      <c r="I58" s="244"/>
      <c r="J58" s="239" t="s">
        <v>163</v>
      </c>
      <c r="K58" s="262"/>
      <c r="L58" s="246" t="s">
        <v>92</v>
      </c>
      <c r="M58" s="247"/>
      <c r="N58" s="24" t="s">
        <v>60</v>
      </c>
      <c r="O58" s="248" t="s">
        <v>68</v>
      </c>
      <c r="P58" s="249"/>
      <c r="Q58" s="250"/>
      <c r="R58" s="251" t="s">
        <v>69</v>
      </c>
      <c r="S58" s="252"/>
      <c r="T58" s="252"/>
      <c r="U58" s="253"/>
      <c r="W58" s="24" t="s">
        <v>60</v>
      </c>
      <c r="X58" s="248" t="s">
        <v>68</v>
      </c>
      <c r="Y58" s="249"/>
      <c r="Z58" s="250"/>
      <c r="AA58" s="251" t="s">
        <v>69</v>
      </c>
      <c r="AB58" s="252"/>
      <c r="AC58" s="252"/>
      <c r="AD58" s="253"/>
    </row>
    <row r="59" spans="1:30" ht="16.149999999999999" customHeight="1" x14ac:dyDescent="0.25">
      <c r="A59" s="238"/>
      <c r="B59" s="56" t="s">
        <v>214</v>
      </c>
      <c r="C59" s="49">
        <v>55</v>
      </c>
      <c r="D59" s="140" t="s">
        <v>221</v>
      </c>
      <c r="E59" s="39">
        <v>30</v>
      </c>
      <c r="F59" s="38" t="s">
        <v>186</v>
      </c>
      <c r="G59" s="39">
        <v>25</v>
      </c>
      <c r="H59" s="133" t="s">
        <v>95</v>
      </c>
      <c r="I59" s="141">
        <v>140</v>
      </c>
      <c r="J59" s="133" t="s">
        <v>164</v>
      </c>
      <c r="K59" s="141">
        <v>15</v>
      </c>
      <c r="L59" s="38" t="s">
        <v>97</v>
      </c>
      <c r="M59" s="39">
        <v>140</v>
      </c>
      <c r="N59" s="40">
        <f>S60</f>
        <v>116.1</v>
      </c>
      <c r="O59" s="25" t="s">
        <v>61</v>
      </c>
      <c r="P59" s="26">
        <f>M59/20+E61/2/30</f>
        <v>7</v>
      </c>
      <c r="Q59" s="27" t="s">
        <v>63</v>
      </c>
      <c r="R59" s="89" t="s">
        <v>64</v>
      </c>
      <c r="S59" s="90" t="e">
        <f>P65</f>
        <v>#REF!</v>
      </c>
      <c r="T59" s="91" t="s">
        <v>66</v>
      </c>
      <c r="U59" s="108"/>
      <c r="W59" s="40">
        <f>AB60</f>
        <v>120.6</v>
      </c>
      <c r="X59" s="25" t="s">
        <v>61</v>
      </c>
      <c r="Y59" s="26">
        <f>M59/20+G59/2/30</f>
        <v>7.416666666666667</v>
      </c>
      <c r="Z59" s="27" t="s">
        <v>63</v>
      </c>
      <c r="AA59" s="89" t="s">
        <v>64</v>
      </c>
      <c r="AB59" s="90">
        <f>Y65</f>
        <v>872.82404761904763</v>
      </c>
      <c r="AC59" s="91" t="s">
        <v>66</v>
      </c>
      <c r="AD59" s="108"/>
    </row>
    <row r="60" spans="1:30" ht="16.149999999999999" customHeight="1" x14ac:dyDescent="0.25">
      <c r="A60" s="238"/>
      <c r="B60" s="138" t="s">
        <v>215</v>
      </c>
      <c r="C60" s="139">
        <v>0</v>
      </c>
      <c r="D60" s="142"/>
      <c r="E60" s="55"/>
      <c r="F60" s="53" t="s">
        <v>223</v>
      </c>
      <c r="G60" s="55">
        <v>13</v>
      </c>
      <c r="H60" s="63"/>
      <c r="I60" s="143"/>
      <c r="J60" s="69" t="s">
        <v>103</v>
      </c>
      <c r="K60" s="70">
        <v>5</v>
      </c>
      <c r="L60" s="56"/>
      <c r="M60" s="57"/>
      <c r="N60" s="58" t="s">
        <v>74</v>
      </c>
      <c r="O60" s="41" t="s">
        <v>70</v>
      </c>
      <c r="P60" s="42" t="e">
        <f>C59*0.92/35+#REF!/35+E61/2/35+G61/35+K60/35</f>
        <v>#REF!</v>
      </c>
      <c r="Q60" s="43" t="s">
        <v>63</v>
      </c>
      <c r="R60" s="44" t="s">
        <v>71</v>
      </c>
      <c r="S60" s="45">
        <f>P59*15+P61*5+P62*15+P63*12</f>
        <v>116.1</v>
      </c>
      <c r="T60" s="43" t="s">
        <v>73</v>
      </c>
      <c r="U60" s="46" t="e">
        <f>S60*4/S59</f>
        <v>#REF!</v>
      </c>
      <c r="W60" s="58" t="s">
        <v>74</v>
      </c>
      <c r="X60" s="41" t="s">
        <v>70</v>
      </c>
      <c r="Y60" s="42">
        <f>C59/35+E59/40+G59/2/35+K61*0.6/40+C63/40</f>
        <v>2.9535714285714283</v>
      </c>
      <c r="Z60" s="43" t="s">
        <v>63</v>
      </c>
      <c r="AA60" s="44" t="s">
        <v>71</v>
      </c>
      <c r="AB60" s="45">
        <f>Y59*15+Y61*5+Y62*15+Y63*12</f>
        <v>120.6</v>
      </c>
      <c r="AC60" s="43" t="s">
        <v>73</v>
      </c>
      <c r="AD60" s="46">
        <f>AB60*4/AB59</f>
        <v>0.55268871351095961</v>
      </c>
    </row>
    <row r="61" spans="1:30" ht="16.149999999999999" customHeight="1" x14ac:dyDescent="0.25">
      <c r="A61" s="238"/>
      <c r="B61" s="56" t="s">
        <v>216</v>
      </c>
      <c r="C61" s="49" t="s">
        <v>217</v>
      </c>
      <c r="D61" s="69"/>
      <c r="E61" s="49"/>
      <c r="F61" s="56" t="s">
        <v>189</v>
      </c>
      <c r="G61" s="57">
        <v>5</v>
      </c>
      <c r="H61" s="56"/>
      <c r="I61" s="57"/>
      <c r="J61" s="66" t="s">
        <v>153</v>
      </c>
      <c r="K61" s="57">
        <v>10</v>
      </c>
      <c r="L61" s="56"/>
      <c r="M61" s="57"/>
      <c r="N61" s="40" t="e">
        <f>S61</f>
        <v>#REF!</v>
      </c>
      <c r="O61" s="59" t="s">
        <v>76</v>
      </c>
      <c r="P61" s="42">
        <f>(K61+I59+G59+G60+G62+G63+E59+E60+E63+E64)/100</f>
        <v>2.2200000000000002</v>
      </c>
      <c r="Q61" s="43" t="s">
        <v>63</v>
      </c>
      <c r="R61" s="44" t="s">
        <v>78</v>
      </c>
      <c r="S61" s="45" t="e">
        <f>P60*5+P63*4+P64*5</f>
        <v>#REF!</v>
      </c>
      <c r="T61" s="43" t="s">
        <v>73</v>
      </c>
      <c r="U61" s="46" t="e">
        <f>S61*9/S59</f>
        <v>#REF!</v>
      </c>
      <c r="W61" s="40">
        <f>AB61</f>
        <v>26.767857142857142</v>
      </c>
      <c r="X61" s="144" t="s">
        <v>76</v>
      </c>
      <c r="Y61" s="42">
        <f>(I59+K60+K59+C62+G60+G61+G62+G63)/100</f>
        <v>1.87</v>
      </c>
      <c r="Z61" s="43" t="s">
        <v>63</v>
      </c>
      <c r="AA61" s="44" t="s">
        <v>78</v>
      </c>
      <c r="AB61" s="45">
        <f>Y60*5+Y63*4+Y64*5</f>
        <v>26.767857142857142</v>
      </c>
      <c r="AC61" s="43" t="s">
        <v>73</v>
      </c>
      <c r="AD61" s="46">
        <f>AB61*9/AB59</f>
        <v>0.27601292029348629</v>
      </c>
    </row>
    <row r="62" spans="1:30" ht="16.149999999999999" customHeight="1" x14ac:dyDescent="0.25">
      <c r="A62" s="238"/>
      <c r="B62" s="53" t="s">
        <v>212</v>
      </c>
      <c r="C62" s="55">
        <v>5</v>
      </c>
      <c r="D62" s="145"/>
      <c r="E62" s="54"/>
      <c r="F62" s="66" t="s">
        <v>124</v>
      </c>
      <c r="G62" s="157">
        <v>3</v>
      </c>
      <c r="H62" s="63"/>
      <c r="I62" s="146"/>
      <c r="J62" s="64" t="s">
        <v>121</v>
      </c>
      <c r="K62" s="65">
        <v>0.4</v>
      </c>
      <c r="L62" s="56"/>
      <c r="M62" s="57"/>
      <c r="N62" s="58" t="s">
        <v>81</v>
      </c>
      <c r="O62" s="67" t="s">
        <v>79</v>
      </c>
      <c r="P62" s="68">
        <v>0</v>
      </c>
      <c r="Q62" s="43" t="s">
        <v>63</v>
      </c>
      <c r="R62" s="44" t="s">
        <v>80</v>
      </c>
      <c r="S62" s="45" t="e">
        <f>P59*2+P60*7+P61*1+P63*8</f>
        <v>#REF!</v>
      </c>
      <c r="T62" s="43" t="s">
        <v>73</v>
      </c>
      <c r="U62" s="46" t="e">
        <f>S62*4/S59</f>
        <v>#REF!</v>
      </c>
      <c r="W62" s="58" t="s">
        <v>81</v>
      </c>
      <c r="X62" s="71" t="s">
        <v>79</v>
      </c>
      <c r="Y62" s="68">
        <v>0</v>
      </c>
      <c r="Z62" s="43" t="s">
        <v>63</v>
      </c>
      <c r="AA62" s="44" t="s">
        <v>80</v>
      </c>
      <c r="AB62" s="45">
        <f>Y59*2+Y60*7+Y61*1+Y63*8</f>
        <v>37.37833333333333</v>
      </c>
      <c r="AC62" s="43" t="s">
        <v>73</v>
      </c>
      <c r="AD62" s="46">
        <f>AB62*4/AB59</f>
        <v>0.17129836619555405</v>
      </c>
    </row>
    <row r="63" spans="1:30" ht="16.149999999999999" customHeight="1" x14ac:dyDescent="0.25">
      <c r="A63" s="238" t="s">
        <v>106</v>
      </c>
      <c r="B63" s="63" t="s">
        <v>218</v>
      </c>
      <c r="C63" s="55">
        <v>5</v>
      </c>
      <c r="D63" s="53"/>
      <c r="E63" s="147"/>
      <c r="F63" s="61" t="s">
        <v>159</v>
      </c>
      <c r="G63" s="105">
        <v>1</v>
      </c>
      <c r="H63" s="63"/>
      <c r="I63" s="146"/>
      <c r="J63" s="56"/>
      <c r="K63" s="57"/>
      <c r="L63" s="56"/>
      <c r="M63" s="57"/>
      <c r="N63" s="40" t="e">
        <f>S62</f>
        <v>#REF!</v>
      </c>
      <c r="O63" s="71" t="s">
        <v>82</v>
      </c>
      <c r="P63" s="68">
        <v>0</v>
      </c>
      <c r="Q63" s="43" t="s">
        <v>63</v>
      </c>
      <c r="R63" s="72"/>
      <c r="S63" s="72"/>
      <c r="T63" s="72"/>
      <c r="U63" s="73" t="e">
        <f>SUM(U60:U62)</f>
        <v>#REF!</v>
      </c>
      <c r="W63" s="40">
        <f>AB62</f>
        <v>37.37833333333333</v>
      </c>
      <c r="X63" s="71" t="s">
        <v>82</v>
      </c>
      <c r="Y63" s="68">
        <v>0</v>
      </c>
      <c r="Z63" s="43" t="s">
        <v>63</v>
      </c>
      <c r="AA63" s="72"/>
      <c r="AB63" s="72"/>
      <c r="AC63" s="72"/>
      <c r="AD63" s="73">
        <f>SUM(AD60:AD62)</f>
        <v>1</v>
      </c>
    </row>
    <row r="64" spans="1:30" ht="16.149999999999999" customHeight="1" x14ac:dyDescent="0.25">
      <c r="A64" s="238"/>
      <c r="B64" s="63"/>
      <c r="C64" s="55"/>
      <c r="D64" s="53"/>
      <c r="E64" s="147"/>
      <c r="F64" s="69"/>
      <c r="G64" s="153"/>
      <c r="H64" s="66"/>
      <c r="I64" s="148"/>
      <c r="J64" s="66"/>
      <c r="K64" s="57"/>
      <c r="L64" s="113"/>
      <c r="M64" s="114"/>
      <c r="N64" s="58" t="s">
        <v>85</v>
      </c>
      <c r="O64" s="75" t="s">
        <v>84</v>
      </c>
      <c r="P64" s="68">
        <v>2.5</v>
      </c>
      <c r="Q64" s="43" t="s">
        <v>63</v>
      </c>
      <c r="R64" s="76"/>
      <c r="S64" s="76"/>
      <c r="T64" s="76"/>
      <c r="U64" s="77"/>
      <c r="W64" s="58" t="s">
        <v>85</v>
      </c>
      <c r="X64" s="75" t="s">
        <v>84</v>
      </c>
      <c r="Y64" s="68">
        <v>2.4</v>
      </c>
      <c r="Z64" s="43" t="s">
        <v>63</v>
      </c>
      <c r="AA64" s="76"/>
      <c r="AB64" s="76"/>
      <c r="AC64" s="76"/>
      <c r="AD64" s="77"/>
    </row>
    <row r="65" spans="1:30" ht="16.149999999999999" customHeight="1" thickBot="1" x14ac:dyDescent="0.3">
      <c r="A65" s="254"/>
      <c r="B65" s="255" t="s">
        <v>222</v>
      </c>
      <c r="C65" s="256"/>
      <c r="D65" s="255" t="s">
        <v>148</v>
      </c>
      <c r="E65" s="256"/>
      <c r="F65" s="255" t="s">
        <v>111</v>
      </c>
      <c r="G65" s="256"/>
      <c r="H65" s="255" t="s">
        <v>110</v>
      </c>
      <c r="I65" s="256"/>
      <c r="J65" s="255" t="s">
        <v>111</v>
      </c>
      <c r="K65" s="256"/>
      <c r="L65" s="255" t="s">
        <v>112</v>
      </c>
      <c r="M65" s="256"/>
      <c r="N65" s="83" t="e">
        <f>P65</f>
        <v>#REF!</v>
      </c>
      <c r="O65" s="78" t="s">
        <v>87</v>
      </c>
      <c r="P65" s="79" t="e">
        <f>P59*68+P60*73+P61*24+P62*60+P63*112+P64*45</f>
        <v>#REF!</v>
      </c>
      <c r="Q65" s="80" t="s">
        <v>66</v>
      </c>
      <c r="R65" s="81"/>
      <c r="S65" s="81"/>
      <c r="T65" s="81"/>
      <c r="U65" s="82"/>
      <c r="W65" s="83">
        <f>Y65</f>
        <v>872.82404761904763</v>
      </c>
      <c r="X65" s="78" t="s">
        <v>87</v>
      </c>
      <c r="Y65" s="79">
        <f>Y59*68+Y60*73+Y61*24+Y62*60+Y63*112+Y64*45</f>
        <v>872.82404761904763</v>
      </c>
      <c r="Z65" s="80" t="s">
        <v>66</v>
      </c>
      <c r="AA65" s="81"/>
      <c r="AB65" s="81"/>
      <c r="AC65" s="81"/>
      <c r="AD65" s="82"/>
    </row>
    <row r="66" spans="1:30" ht="16.149999999999999" customHeight="1" thickBot="1" x14ac:dyDescent="0.3">
      <c r="A66" s="237">
        <f>A58+1</f>
        <v>44021</v>
      </c>
      <c r="B66" s="239" t="s">
        <v>224</v>
      </c>
      <c r="C66" s="262"/>
      <c r="D66" s="259" t="s">
        <v>225</v>
      </c>
      <c r="E66" s="240"/>
      <c r="F66" s="259" t="s">
        <v>227</v>
      </c>
      <c r="G66" s="240"/>
      <c r="H66" s="239" t="s">
        <v>151</v>
      </c>
      <c r="I66" s="244"/>
      <c r="J66" s="239" t="s">
        <v>165</v>
      </c>
      <c r="K66" s="262"/>
      <c r="L66" s="246" t="s">
        <v>166</v>
      </c>
      <c r="M66" s="247"/>
      <c r="N66" s="24" t="s">
        <v>60</v>
      </c>
      <c r="O66" s="248" t="s">
        <v>68</v>
      </c>
      <c r="P66" s="249"/>
      <c r="Q66" s="250"/>
      <c r="R66" s="251" t="s">
        <v>69</v>
      </c>
      <c r="S66" s="252"/>
      <c r="T66" s="252"/>
      <c r="U66" s="253"/>
      <c r="W66" s="24" t="s">
        <v>60</v>
      </c>
      <c r="X66" s="248" t="s">
        <v>68</v>
      </c>
      <c r="Y66" s="249"/>
      <c r="Z66" s="250"/>
      <c r="AA66" s="251" t="s">
        <v>69</v>
      </c>
      <c r="AB66" s="252"/>
      <c r="AC66" s="252"/>
      <c r="AD66" s="253"/>
    </row>
    <row r="67" spans="1:30" ht="16.149999999999999" customHeight="1" x14ac:dyDescent="0.25">
      <c r="A67" s="238"/>
      <c r="B67" s="53" t="s">
        <v>224</v>
      </c>
      <c r="C67" s="57">
        <v>120</v>
      </c>
      <c r="D67" s="149" t="s">
        <v>167</v>
      </c>
      <c r="E67" s="70">
        <v>30</v>
      </c>
      <c r="F67" s="51" t="s">
        <v>228</v>
      </c>
      <c r="G67" s="55">
        <v>30</v>
      </c>
      <c r="H67" s="133" t="s">
        <v>168</v>
      </c>
      <c r="I67" s="150">
        <v>120</v>
      </c>
      <c r="J67" s="38" t="s">
        <v>169</v>
      </c>
      <c r="K67" s="39">
        <v>15</v>
      </c>
      <c r="L67" s="1" t="s">
        <v>170</v>
      </c>
      <c r="M67" s="88">
        <v>120</v>
      </c>
      <c r="N67" s="40">
        <f>S68</f>
        <v>99</v>
      </c>
      <c r="O67" s="25" t="s">
        <v>61</v>
      </c>
      <c r="P67" s="26">
        <f>M67/20+K69/70</f>
        <v>6</v>
      </c>
      <c r="Q67" s="27" t="s">
        <v>63</v>
      </c>
      <c r="R67" s="89" t="s">
        <v>64</v>
      </c>
      <c r="S67" s="90">
        <f>P73</f>
        <v>794.15246753246765</v>
      </c>
      <c r="T67" s="91" t="s">
        <v>66</v>
      </c>
      <c r="U67" s="92" t="s">
        <v>67</v>
      </c>
      <c r="W67" s="40">
        <f>AB68</f>
        <v>120.69090909090909</v>
      </c>
      <c r="X67" s="25" t="s">
        <v>61</v>
      </c>
      <c r="Y67" s="26">
        <f>M67/20+K67/55+K68/15+G67/2/30</f>
        <v>7.4393939393939394</v>
      </c>
      <c r="Z67" s="27" t="s">
        <v>63</v>
      </c>
      <c r="AA67" s="89" t="s">
        <v>64</v>
      </c>
      <c r="AB67" s="90">
        <f>Y73</f>
        <v>859.87307359307351</v>
      </c>
      <c r="AC67" s="91" t="s">
        <v>66</v>
      </c>
      <c r="AD67" s="92" t="s">
        <v>67</v>
      </c>
    </row>
    <row r="68" spans="1:30" ht="16.149999999999999" customHeight="1" x14ac:dyDescent="0.25">
      <c r="A68" s="238"/>
      <c r="B68" s="138" t="s">
        <v>121</v>
      </c>
      <c r="C68" s="139">
        <v>0.4</v>
      </c>
      <c r="D68" s="69" t="s">
        <v>226</v>
      </c>
      <c r="E68" s="70">
        <v>20</v>
      </c>
      <c r="F68" s="51" t="s">
        <v>229</v>
      </c>
      <c r="G68" s="55">
        <v>5</v>
      </c>
      <c r="H68" s="69"/>
      <c r="I68" s="70"/>
      <c r="J68" s="53" t="s">
        <v>171</v>
      </c>
      <c r="K68" s="55">
        <v>10</v>
      </c>
      <c r="L68" s="1" t="s">
        <v>159</v>
      </c>
      <c r="M68" s="70">
        <v>10</v>
      </c>
      <c r="N68" s="58" t="s">
        <v>74</v>
      </c>
      <c r="O68" s="41" t="s">
        <v>70</v>
      </c>
      <c r="P68" s="42">
        <f>C67*0.68/40+E67/55+E68/35</f>
        <v>3.1568831168831171</v>
      </c>
      <c r="Q68" s="43" t="s">
        <v>63</v>
      </c>
      <c r="R68" s="44" t="s">
        <v>71</v>
      </c>
      <c r="S68" s="45">
        <f>P67*15+P69*5+P70*15+P71*12</f>
        <v>99</v>
      </c>
      <c r="T68" s="43" t="s">
        <v>73</v>
      </c>
      <c r="U68" s="46">
        <f>S68*4/S67</f>
        <v>0.49864480208746587</v>
      </c>
      <c r="W68" s="58" t="s">
        <v>74</v>
      </c>
      <c r="X68" s="41" t="s">
        <v>70</v>
      </c>
      <c r="Y68" s="42">
        <f>C67*0.6/40+E68/50+M71/35+G67/2/35</f>
        <v>2.7714285714285714</v>
      </c>
      <c r="Z68" s="43" t="s">
        <v>63</v>
      </c>
      <c r="AA68" s="44" t="s">
        <v>71</v>
      </c>
      <c r="AB68" s="45">
        <f>Y67*15+Y69*5+Y70*15+Y71*12</f>
        <v>120.69090909090909</v>
      </c>
      <c r="AC68" s="43" t="s">
        <v>73</v>
      </c>
      <c r="AD68" s="46">
        <f>AB68*4/AB67</f>
        <v>0.56143592721929969</v>
      </c>
    </row>
    <row r="69" spans="1:30" ht="16.149999999999999" customHeight="1" x14ac:dyDescent="0.25">
      <c r="A69" s="238"/>
      <c r="B69" s="56"/>
      <c r="C69" s="49"/>
      <c r="D69" s="51" t="s">
        <v>103</v>
      </c>
      <c r="E69" s="55">
        <v>5</v>
      </c>
      <c r="F69" s="56"/>
      <c r="G69" s="55"/>
      <c r="H69" s="51"/>
      <c r="I69" s="55"/>
      <c r="J69" s="103"/>
      <c r="K69" s="70"/>
      <c r="L69" s="1" t="s">
        <v>172</v>
      </c>
      <c r="M69" s="70">
        <v>5</v>
      </c>
      <c r="N69" s="40">
        <f>S69</f>
        <v>28.284415584415584</v>
      </c>
      <c r="O69" s="59" t="s">
        <v>76</v>
      </c>
      <c r="P69" s="42">
        <f>(K67+K68+G71+G70+G67+G68+G69+I67+G72)/100</f>
        <v>1.8</v>
      </c>
      <c r="Q69" s="43" t="s">
        <v>63</v>
      </c>
      <c r="R69" s="44" t="s">
        <v>78</v>
      </c>
      <c r="S69" s="45">
        <f>P68*5+P71*4+P72*5</f>
        <v>28.284415584415584</v>
      </c>
      <c r="T69" s="43" t="s">
        <v>73</v>
      </c>
      <c r="U69" s="46">
        <f>S69*9/S67</f>
        <v>0.32054265480114869</v>
      </c>
      <c r="W69" s="40">
        <f>AB69</f>
        <v>25.857142857142858</v>
      </c>
      <c r="X69" s="59" t="s">
        <v>76</v>
      </c>
      <c r="Y69" s="42">
        <f>(E67+I67+M68+M70+M69+M72+E69)/100</f>
        <v>1.82</v>
      </c>
      <c r="Z69" s="43" t="s">
        <v>63</v>
      </c>
      <c r="AA69" s="44" t="s">
        <v>78</v>
      </c>
      <c r="AB69" s="45">
        <f>Y68*5+Y71*4+Y72*5</f>
        <v>25.857142857142858</v>
      </c>
      <c r="AC69" s="43" t="s">
        <v>73</v>
      </c>
      <c r="AD69" s="46">
        <f>AB69*9/AB67</f>
        <v>0.27063794978701178</v>
      </c>
    </row>
    <row r="70" spans="1:30" ht="16.149999999999999" customHeight="1" x14ac:dyDescent="0.25">
      <c r="A70" s="238"/>
      <c r="B70" s="56"/>
      <c r="C70" s="49"/>
      <c r="D70" s="51"/>
      <c r="E70" s="55"/>
      <c r="F70" s="53"/>
      <c r="G70" s="55"/>
      <c r="H70" s="61"/>
      <c r="I70" s="62"/>
      <c r="J70" s="152"/>
      <c r="K70" s="62"/>
      <c r="L70" s="1" t="s">
        <v>173</v>
      </c>
      <c r="M70" s="70">
        <v>10</v>
      </c>
      <c r="N70" s="58" t="s">
        <v>81</v>
      </c>
      <c r="O70" s="67" t="s">
        <v>79</v>
      </c>
      <c r="P70" s="68">
        <v>0</v>
      </c>
      <c r="Q70" s="43" t="s">
        <v>63</v>
      </c>
      <c r="R70" s="44" t="s">
        <v>80</v>
      </c>
      <c r="S70" s="45">
        <f>P67*2+P68*7+P69*1+P71*8</f>
        <v>35.898181818181818</v>
      </c>
      <c r="T70" s="43" t="s">
        <v>73</v>
      </c>
      <c r="U70" s="46">
        <f>S70*4/S67</f>
        <v>0.18081254311138523</v>
      </c>
      <c r="W70" s="58" t="s">
        <v>81</v>
      </c>
      <c r="X70" s="71" t="s">
        <v>79</v>
      </c>
      <c r="Y70" s="68">
        <v>0</v>
      </c>
      <c r="Z70" s="43" t="s">
        <v>63</v>
      </c>
      <c r="AA70" s="44" t="s">
        <v>80</v>
      </c>
      <c r="AB70" s="45">
        <f>Y67*2+Y68*7+Y69*1+Y71*8</f>
        <v>36.098787878787881</v>
      </c>
      <c r="AC70" s="43" t="s">
        <v>73</v>
      </c>
      <c r="AD70" s="46">
        <f>AB70*4/AB67</f>
        <v>0.16792612299368861</v>
      </c>
    </row>
    <row r="71" spans="1:30" ht="16.149999999999999" customHeight="1" x14ac:dyDescent="0.25">
      <c r="A71" s="238" t="s">
        <v>126</v>
      </c>
      <c r="B71" s="69"/>
      <c r="C71" s="70"/>
      <c r="D71" s="56"/>
      <c r="E71" s="55"/>
      <c r="F71" s="56"/>
      <c r="G71" s="55"/>
      <c r="H71" s="69"/>
      <c r="I71" s="153"/>
      <c r="J71" s="63"/>
      <c r="K71" s="57"/>
      <c r="L71" s="1" t="s">
        <v>96</v>
      </c>
      <c r="M71" s="70">
        <v>5</v>
      </c>
      <c r="N71" s="40">
        <f>S70</f>
        <v>35.898181818181818</v>
      </c>
      <c r="O71" s="71" t="s">
        <v>82</v>
      </c>
      <c r="P71" s="68">
        <v>0</v>
      </c>
      <c r="Q71" s="43" t="s">
        <v>63</v>
      </c>
      <c r="R71" s="72"/>
      <c r="S71" s="72"/>
      <c r="T71" s="72"/>
      <c r="U71" s="73">
        <f>SUM(U68:U70)</f>
        <v>0.99999999999999978</v>
      </c>
      <c r="W71" s="40">
        <f>AB70</f>
        <v>36.098787878787881</v>
      </c>
      <c r="X71" s="71" t="s">
        <v>82</v>
      </c>
      <c r="Y71" s="68">
        <v>0</v>
      </c>
      <c r="Z71" s="43" t="s">
        <v>63</v>
      </c>
      <c r="AA71" s="72"/>
      <c r="AB71" s="72"/>
      <c r="AC71" s="72"/>
      <c r="AD71" s="73">
        <f>SUM(AD68:AD70)</f>
        <v>1</v>
      </c>
    </row>
    <row r="72" spans="1:30" ht="16.149999999999999" customHeight="1" x14ac:dyDescent="0.25">
      <c r="A72" s="238"/>
      <c r="B72" s="69"/>
      <c r="C72" s="70"/>
      <c r="D72" s="69"/>
      <c r="E72" s="57"/>
      <c r="F72" s="53"/>
      <c r="G72" s="55"/>
      <c r="H72" s="69"/>
      <c r="I72" s="153"/>
      <c r="J72" s="130"/>
      <c r="K72" s="129"/>
      <c r="L72" s="1" t="s">
        <v>174</v>
      </c>
      <c r="M72" s="70">
        <v>2</v>
      </c>
      <c r="N72" s="58" t="s">
        <v>85</v>
      </c>
      <c r="O72" s="75" t="s">
        <v>84</v>
      </c>
      <c r="P72" s="68">
        <v>2.5</v>
      </c>
      <c r="Q72" s="43" t="s">
        <v>63</v>
      </c>
      <c r="R72" s="76"/>
      <c r="S72" s="76"/>
      <c r="T72" s="76"/>
      <c r="U72" s="77"/>
      <c r="W72" s="58" t="s">
        <v>85</v>
      </c>
      <c r="X72" s="75" t="s">
        <v>84</v>
      </c>
      <c r="Y72" s="68">
        <v>2.4</v>
      </c>
      <c r="Z72" s="43" t="s">
        <v>63</v>
      </c>
      <c r="AA72" s="76"/>
      <c r="AB72" s="76"/>
      <c r="AC72" s="76"/>
      <c r="AD72" s="77"/>
    </row>
    <row r="73" spans="1:30" ht="16.149999999999999" customHeight="1" thickBot="1" x14ac:dyDescent="0.3">
      <c r="A73" s="254"/>
      <c r="B73" s="255" t="s">
        <v>108</v>
      </c>
      <c r="C73" s="256"/>
      <c r="D73" s="260" t="s">
        <v>109</v>
      </c>
      <c r="E73" s="256"/>
      <c r="F73" s="274" t="s">
        <v>112</v>
      </c>
      <c r="G73" s="258"/>
      <c r="H73" s="255" t="s">
        <v>110</v>
      </c>
      <c r="I73" s="256"/>
      <c r="J73" s="255" t="s">
        <v>111</v>
      </c>
      <c r="K73" s="256"/>
      <c r="L73" s="255" t="s">
        <v>109</v>
      </c>
      <c r="M73" s="256"/>
      <c r="N73" s="83">
        <f>P73</f>
        <v>794.15246753246765</v>
      </c>
      <c r="O73" s="78" t="s">
        <v>87</v>
      </c>
      <c r="P73" s="79">
        <f>P67*68+P68*73+P69*24+P70*60+P71*112+P72*45</f>
        <v>794.15246753246765</v>
      </c>
      <c r="Q73" s="80" t="s">
        <v>66</v>
      </c>
      <c r="R73" s="81"/>
      <c r="S73" s="81"/>
      <c r="T73" s="81"/>
      <c r="U73" s="82"/>
      <c r="W73" s="83">
        <f>Y73</f>
        <v>859.87307359307351</v>
      </c>
      <c r="X73" s="78" t="s">
        <v>87</v>
      </c>
      <c r="Y73" s="79">
        <f>Y67*68+Y68*73+Y69*24+Y70*60+Y71*112+Y72*45</f>
        <v>859.87307359307351</v>
      </c>
      <c r="Z73" s="80" t="s">
        <v>66</v>
      </c>
      <c r="AA73" s="81"/>
      <c r="AB73" s="81"/>
      <c r="AC73" s="81"/>
      <c r="AD73" s="82"/>
    </row>
    <row r="74" spans="1:30" x14ac:dyDescent="0.25">
      <c r="A74" s="263" t="s">
        <v>131</v>
      </c>
      <c r="B74" s="264"/>
      <c r="C74" s="264"/>
      <c r="D74" s="275"/>
      <c r="E74" s="275"/>
      <c r="F74" s="264"/>
      <c r="G74" s="264"/>
      <c r="H74" s="264"/>
      <c r="I74" s="264"/>
      <c r="J74" s="264"/>
      <c r="K74" s="264"/>
      <c r="L74" s="264"/>
      <c r="M74" s="264"/>
    </row>
    <row r="75" spans="1:30" x14ac:dyDescent="0.25">
      <c r="A75" s="265" t="s">
        <v>133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</row>
    <row r="76" spans="1:30" x14ac:dyDescent="0.25">
      <c r="A76" s="266" t="s">
        <v>135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</row>
    <row r="77" spans="1:30" x14ac:dyDescent="0.25">
      <c r="A77" s="267" t="s">
        <v>137</v>
      </c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</row>
    <row r="78" spans="1:30" x14ac:dyDescent="0.25">
      <c r="A78" s="268" t="s">
        <v>139</v>
      </c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</row>
    <row r="79" spans="1:30" ht="21.75" thickBot="1" x14ac:dyDescent="0.3">
      <c r="A79" s="233" t="s">
        <v>175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</row>
    <row r="80" spans="1:30" ht="35.25" thickBot="1" x14ac:dyDescent="0.3">
      <c r="A80" s="21" t="s">
        <v>52</v>
      </c>
      <c r="B80" s="22" t="s">
        <v>53</v>
      </c>
      <c r="C80" s="23" t="s">
        <v>54</v>
      </c>
      <c r="D80" s="22" t="s">
        <v>55</v>
      </c>
      <c r="E80" s="23" t="s">
        <v>54</v>
      </c>
      <c r="F80" s="22" t="s">
        <v>55</v>
      </c>
      <c r="G80" s="23" t="s">
        <v>54</v>
      </c>
      <c r="H80" s="22" t="s">
        <v>141</v>
      </c>
      <c r="I80" s="23" t="s">
        <v>54</v>
      </c>
      <c r="J80" s="22" t="s">
        <v>56</v>
      </c>
      <c r="K80" s="23" t="s">
        <v>54</v>
      </c>
      <c r="L80" s="22" t="s">
        <v>57</v>
      </c>
      <c r="M80" s="23" t="s">
        <v>54</v>
      </c>
      <c r="N80" s="23" t="s">
        <v>58</v>
      </c>
      <c r="O80" s="234" t="s">
        <v>59</v>
      </c>
      <c r="P80" s="235"/>
      <c r="Q80" s="235"/>
      <c r="R80" s="235"/>
      <c r="S80" s="235"/>
      <c r="T80" s="235"/>
      <c r="U80" s="236"/>
      <c r="W80" s="23" t="s">
        <v>58</v>
      </c>
      <c r="X80" s="234" t="s">
        <v>59</v>
      </c>
      <c r="Y80" s="235"/>
      <c r="Z80" s="235"/>
      <c r="AA80" s="235"/>
      <c r="AB80" s="235"/>
      <c r="AC80" s="235"/>
      <c r="AD80" s="236"/>
    </row>
    <row r="81" spans="1:30" ht="16.149999999999999" customHeight="1" thickBot="1" x14ac:dyDescent="0.3">
      <c r="A81" s="237">
        <f>A66+4</f>
        <v>44025</v>
      </c>
      <c r="B81" s="239" t="s">
        <v>230</v>
      </c>
      <c r="C81" s="240"/>
      <c r="D81" s="276" t="s">
        <v>176</v>
      </c>
      <c r="E81" s="277"/>
      <c r="F81" s="239" t="s">
        <v>177</v>
      </c>
      <c r="G81" s="262"/>
      <c r="H81" s="239" t="s">
        <v>151</v>
      </c>
      <c r="I81" s="244"/>
      <c r="J81" s="239" t="s">
        <v>178</v>
      </c>
      <c r="K81" s="262"/>
      <c r="L81" s="246" t="s">
        <v>92</v>
      </c>
      <c r="M81" s="247"/>
      <c r="N81" s="24" t="s">
        <v>60</v>
      </c>
      <c r="O81" s="25" t="s">
        <v>61</v>
      </c>
      <c r="P81" s="26">
        <f>C84/45+G84/65+M82/20+M83/20</f>
        <v>6.5</v>
      </c>
      <c r="Q81" s="27" t="s">
        <v>63</v>
      </c>
      <c r="R81" s="28" t="s">
        <v>64</v>
      </c>
      <c r="S81" s="29">
        <f>P87</f>
        <v>810.09989610389607</v>
      </c>
      <c r="T81" s="27" t="s">
        <v>66</v>
      </c>
      <c r="U81" s="30" t="s">
        <v>67</v>
      </c>
      <c r="W81" s="24" t="s">
        <v>60</v>
      </c>
      <c r="X81" s="248" t="s">
        <v>68</v>
      </c>
      <c r="Y81" s="249"/>
      <c r="Z81" s="250"/>
      <c r="AA81" s="251" t="s">
        <v>69</v>
      </c>
      <c r="AB81" s="252"/>
      <c r="AC81" s="252"/>
      <c r="AD81" s="253"/>
    </row>
    <row r="82" spans="1:30" ht="16.149999999999999" customHeight="1" x14ac:dyDescent="0.25">
      <c r="A82" s="238"/>
      <c r="B82" s="53" t="s">
        <v>231</v>
      </c>
      <c r="C82" s="55">
        <v>120</v>
      </c>
      <c r="D82" s="31" t="s">
        <v>179</v>
      </c>
      <c r="E82" s="32">
        <v>20</v>
      </c>
      <c r="F82" s="38" t="s">
        <v>180</v>
      </c>
      <c r="G82" s="39">
        <v>20</v>
      </c>
      <c r="H82" s="36" t="s">
        <v>119</v>
      </c>
      <c r="I82" s="37">
        <v>120</v>
      </c>
      <c r="J82" s="38" t="s">
        <v>123</v>
      </c>
      <c r="K82" s="39">
        <v>9</v>
      </c>
      <c r="L82" s="38" t="s">
        <v>97</v>
      </c>
      <c r="M82" s="39">
        <v>130</v>
      </c>
      <c r="N82" s="40">
        <f>S82</f>
        <v>105.52</v>
      </c>
      <c r="O82" s="41" t="s">
        <v>70</v>
      </c>
      <c r="P82" s="42">
        <f>C82/55+E82/55+E83/35+K107/25</f>
        <v>2.9740259740259738</v>
      </c>
      <c r="Q82" s="43" t="s">
        <v>63</v>
      </c>
      <c r="R82" s="44" t="s">
        <v>71</v>
      </c>
      <c r="S82" s="45">
        <f>P81*15+P83*5+P84*15+P85*12</f>
        <v>105.52</v>
      </c>
      <c r="T82" s="43" t="s">
        <v>73</v>
      </c>
      <c r="U82" s="46">
        <f>S82*4/S81</f>
        <v>0.52102216285911962</v>
      </c>
      <c r="W82" s="40">
        <f>AB83</f>
        <v>120.90641711229945</v>
      </c>
      <c r="X82" s="47" t="s">
        <v>61</v>
      </c>
      <c r="Y82" s="26">
        <f>M82/20+E86/55+K82/85+K83/90+G82/2/30+G83/2/30</f>
        <v>7.4937611408199638</v>
      </c>
      <c r="Z82" s="27" t="s">
        <v>63</v>
      </c>
      <c r="AA82" s="28" t="s">
        <v>64</v>
      </c>
      <c r="AB82" s="29">
        <f>Y88</f>
        <v>858.37679653679652</v>
      </c>
      <c r="AC82" s="27" t="s">
        <v>66</v>
      </c>
      <c r="AD82" s="30" t="s">
        <v>67</v>
      </c>
    </row>
    <row r="83" spans="1:30" ht="16.149999999999999" customHeight="1" x14ac:dyDescent="0.25">
      <c r="A83" s="238"/>
      <c r="B83" s="158" t="s">
        <v>121</v>
      </c>
      <c r="C83" s="159">
        <v>0.4</v>
      </c>
      <c r="D83" s="56" t="s">
        <v>146</v>
      </c>
      <c r="E83" s="49">
        <v>15</v>
      </c>
      <c r="F83" s="53" t="s">
        <v>233</v>
      </c>
      <c r="G83" s="55">
        <v>20</v>
      </c>
      <c r="H83" s="53"/>
      <c r="I83" s="54"/>
      <c r="J83" s="56" t="s">
        <v>181</v>
      </c>
      <c r="K83" s="57">
        <v>15</v>
      </c>
      <c r="L83" s="56"/>
      <c r="M83" s="57"/>
      <c r="N83" s="58" t="s">
        <v>74</v>
      </c>
      <c r="O83" s="59" t="s">
        <v>76</v>
      </c>
      <c r="P83" s="42">
        <f>(C83+G82+G83+I82+K106)/100</f>
        <v>1.6040000000000001</v>
      </c>
      <c r="Q83" s="43" t="s">
        <v>63</v>
      </c>
      <c r="R83" s="44" t="s">
        <v>78</v>
      </c>
      <c r="S83" s="45">
        <f>P82*5+P85*4+P86*5</f>
        <v>27.370129870129869</v>
      </c>
      <c r="T83" s="43" t="s">
        <v>73</v>
      </c>
      <c r="U83" s="46">
        <f>S83*9/S81</f>
        <v>0.30407505298528836</v>
      </c>
      <c r="W83" s="58" t="s">
        <v>74</v>
      </c>
      <c r="X83" s="41" t="s">
        <v>70</v>
      </c>
      <c r="Y83" s="42">
        <f>C82*0.6/40+E84*0.52/35+G82/2/35+K86/55+G83/2/35</f>
        <v>2.7397402597402598</v>
      </c>
      <c r="Z83" s="43" t="s">
        <v>63</v>
      </c>
      <c r="AA83" s="44" t="s">
        <v>71</v>
      </c>
      <c r="AB83" s="45">
        <f>Y82*15+Y84*5+Y85*15+Y86*12</f>
        <v>120.90641711229945</v>
      </c>
      <c r="AC83" s="43" t="s">
        <v>73</v>
      </c>
      <c r="AD83" s="46">
        <f>AB83*4/AB82</f>
        <v>0.56341885102257183</v>
      </c>
    </row>
    <row r="84" spans="1:30" ht="16.149999999999999" customHeight="1" x14ac:dyDescent="0.25">
      <c r="A84" s="238"/>
      <c r="B84" s="53"/>
      <c r="C84" s="55"/>
      <c r="D84" s="56" t="s">
        <v>182</v>
      </c>
      <c r="E84" s="49">
        <v>15</v>
      </c>
      <c r="F84" s="53"/>
      <c r="G84" s="55"/>
      <c r="H84" s="63"/>
      <c r="I84" s="55"/>
      <c r="J84" s="66" t="s">
        <v>98</v>
      </c>
      <c r="K84" s="57">
        <v>10</v>
      </c>
      <c r="L84" s="56"/>
      <c r="M84" s="57"/>
      <c r="N84" s="40">
        <f>S83</f>
        <v>27.370129870129869</v>
      </c>
      <c r="O84" s="67" t="s">
        <v>79</v>
      </c>
      <c r="P84" s="68">
        <v>0</v>
      </c>
      <c r="Q84" s="43" t="s">
        <v>63</v>
      </c>
      <c r="R84" s="44" t="s">
        <v>80</v>
      </c>
      <c r="S84" s="45">
        <f>P81*2+P82*7+P83*1+P85*8</f>
        <v>35.422181818181812</v>
      </c>
      <c r="T84" s="43" t="s">
        <v>73</v>
      </c>
      <c r="U84" s="46">
        <f>S84*4/S81</f>
        <v>0.17490278415559202</v>
      </c>
      <c r="W84" s="40">
        <f>AB84</f>
        <v>25.698701298701298</v>
      </c>
      <c r="X84" s="59" t="s">
        <v>76</v>
      </c>
      <c r="Y84" s="42">
        <f>(I82+K84+K85+E82+E83)/100</f>
        <v>1.7</v>
      </c>
      <c r="Z84" s="43" t="s">
        <v>63</v>
      </c>
      <c r="AA84" s="44" t="s">
        <v>78</v>
      </c>
      <c r="AB84" s="45">
        <f>Y83*5+Y86*4+Y87*5</f>
        <v>25.698701298701298</v>
      </c>
      <c r="AC84" s="43" t="s">
        <v>73</v>
      </c>
      <c r="AD84" s="46">
        <f>AB84*9/AB82</f>
        <v>0.26944846671236522</v>
      </c>
    </row>
    <row r="85" spans="1:30" ht="16.149999999999999" customHeight="1" x14ac:dyDescent="0.25">
      <c r="A85" s="238"/>
      <c r="B85" s="101"/>
      <c r="C85" s="154"/>
      <c r="D85" s="130" t="s">
        <v>121</v>
      </c>
      <c r="E85" s="151">
        <v>0.48</v>
      </c>
      <c r="F85" s="63"/>
      <c r="G85" s="55"/>
      <c r="H85" s="63"/>
      <c r="I85" s="55"/>
      <c r="J85" s="61" t="s">
        <v>124</v>
      </c>
      <c r="K85" s="62">
        <v>5</v>
      </c>
      <c r="L85" s="56"/>
      <c r="M85" s="57"/>
      <c r="N85" s="58" t="s">
        <v>81</v>
      </c>
      <c r="O85" s="71" t="s">
        <v>82</v>
      </c>
      <c r="P85" s="68">
        <v>0</v>
      </c>
      <c r="Q85" s="43" t="s">
        <v>63</v>
      </c>
      <c r="R85" s="72"/>
      <c r="S85" s="72"/>
      <c r="T85" s="72"/>
      <c r="U85" s="73">
        <f>SUM(U82:U84)</f>
        <v>1</v>
      </c>
      <c r="W85" s="58" t="s">
        <v>81</v>
      </c>
      <c r="X85" s="71" t="s">
        <v>79</v>
      </c>
      <c r="Y85" s="68">
        <v>0</v>
      </c>
      <c r="Z85" s="43" t="s">
        <v>63</v>
      </c>
      <c r="AA85" s="44" t="s">
        <v>80</v>
      </c>
      <c r="AB85" s="45">
        <f>Y82*2+Y83*7+Y84*1+Y86*8</f>
        <v>35.865704099821748</v>
      </c>
      <c r="AC85" s="43" t="s">
        <v>73</v>
      </c>
      <c r="AD85" s="46">
        <f>AB85*4/AB82</f>
        <v>0.16713268226506295</v>
      </c>
    </row>
    <row r="86" spans="1:30" ht="16.149999999999999" customHeight="1" x14ac:dyDescent="0.25">
      <c r="A86" s="238" t="s">
        <v>83</v>
      </c>
      <c r="B86" s="101"/>
      <c r="C86" s="102"/>
      <c r="D86" s="66" t="s">
        <v>169</v>
      </c>
      <c r="E86" s="49">
        <v>3</v>
      </c>
      <c r="F86" s="61"/>
      <c r="G86" s="62"/>
      <c r="H86" s="63"/>
      <c r="I86" s="55"/>
      <c r="J86" s="63" t="s">
        <v>94</v>
      </c>
      <c r="K86" s="57">
        <v>8</v>
      </c>
      <c r="L86" s="56"/>
      <c r="M86" s="57"/>
      <c r="N86" s="40">
        <f>S84</f>
        <v>35.422181818181812</v>
      </c>
      <c r="O86" s="75" t="s">
        <v>84</v>
      </c>
      <c r="P86" s="68">
        <v>2.5</v>
      </c>
      <c r="Q86" s="43" t="s">
        <v>63</v>
      </c>
      <c r="R86" s="76"/>
      <c r="S86" s="76"/>
      <c r="T86" s="76"/>
      <c r="U86" s="77"/>
      <c r="W86" s="40">
        <f>AB85</f>
        <v>35.865704099821748</v>
      </c>
      <c r="X86" s="71" t="s">
        <v>82</v>
      </c>
      <c r="Y86" s="68">
        <v>0</v>
      </c>
      <c r="Z86" s="43" t="s">
        <v>63</v>
      </c>
      <c r="AA86" s="72"/>
      <c r="AB86" s="72"/>
      <c r="AC86" s="72"/>
      <c r="AD86" s="73">
        <f>SUM(AD83:AD85)</f>
        <v>1</v>
      </c>
    </row>
    <row r="87" spans="1:30" ht="16.149999999999999" customHeight="1" thickBot="1" x14ac:dyDescent="0.3">
      <c r="A87" s="238"/>
      <c r="B87" s="101"/>
      <c r="C87" s="102"/>
      <c r="D87" s="69"/>
      <c r="E87" s="70"/>
      <c r="F87" s="61"/>
      <c r="G87" s="62"/>
      <c r="H87" s="63"/>
      <c r="I87" s="55"/>
      <c r="J87" s="66"/>
      <c r="K87" s="57"/>
      <c r="L87" s="113"/>
      <c r="M87" s="114"/>
      <c r="N87" s="58" t="s">
        <v>85</v>
      </c>
      <c r="O87" s="78" t="s">
        <v>87</v>
      </c>
      <c r="P87" s="79">
        <f>P81*68+P82*73+P83*24+P84*60+P85*112+P86*45</f>
        <v>810.09989610389607</v>
      </c>
      <c r="Q87" s="80" t="s">
        <v>66</v>
      </c>
      <c r="R87" s="81"/>
      <c r="S87" s="81"/>
      <c r="T87" s="81"/>
      <c r="U87" s="82"/>
      <c r="W87" s="58" t="s">
        <v>85</v>
      </c>
      <c r="X87" s="75" t="s">
        <v>84</v>
      </c>
      <c r="Y87" s="68">
        <v>2.4</v>
      </c>
      <c r="Z87" s="43" t="s">
        <v>63</v>
      </c>
      <c r="AA87" s="76"/>
      <c r="AB87" s="76"/>
      <c r="AC87" s="76"/>
      <c r="AD87" s="77"/>
    </row>
    <row r="88" spans="1:30" ht="16.149999999999999" customHeight="1" thickBot="1" x14ac:dyDescent="0.3">
      <c r="A88" s="254"/>
      <c r="B88" s="255" t="s">
        <v>232</v>
      </c>
      <c r="C88" s="256"/>
      <c r="D88" s="255" t="s">
        <v>111</v>
      </c>
      <c r="E88" s="256"/>
      <c r="F88" s="255" t="s">
        <v>112</v>
      </c>
      <c r="G88" s="256"/>
      <c r="H88" s="255" t="s">
        <v>110</v>
      </c>
      <c r="I88" s="256"/>
      <c r="J88" s="255" t="s">
        <v>111</v>
      </c>
      <c r="K88" s="256"/>
      <c r="L88" s="255" t="s">
        <v>112</v>
      </c>
      <c r="M88" s="256"/>
      <c r="N88" s="83">
        <f>P87</f>
        <v>810.09989610389607</v>
      </c>
      <c r="O88" s="84"/>
      <c r="P88" s="85"/>
      <c r="Q88" s="85"/>
      <c r="R88" s="85"/>
      <c r="S88" s="85"/>
      <c r="T88" s="85"/>
      <c r="U88" s="86"/>
      <c r="W88" s="83">
        <f>Y88</f>
        <v>858.37679653679652</v>
      </c>
      <c r="X88" s="78" t="s">
        <v>87</v>
      </c>
      <c r="Y88" s="79">
        <f>Y82*68+Y83*73+Y84*24+Y85*60+Y86*112+Y87*45</f>
        <v>858.37679653679652</v>
      </c>
      <c r="Z88" s="80" t="s">
        <v>66</v>
      </c>
      <c r="AA88" s="81"/>
      <c r="AB88" s="81"/>
      <c r="AC88" s="81"/>
      <c r="AD88" s="82"/>
    </row>
    <row r="89" spans="1:30" ht="16.149999999999999" customHeight="1" thickBot="1" x14ac:dyDescent="0.3">
      <c r="A89" s="237">
        <f>A81+1</f>
        <v>44026</v>
      </c>
      <c r="B89" s="242" t="s">
        <v>234</v>
      </c>
      <c r="C89" s="243"/>
      <c r="D89" s="242" t="s">
        <v>237</v>
      </c>
      <c r="E89" s="243"/>
      <c r="F89" s="239" t="s">
        <v>184</v>
      </c>
      <c r="G89" s="240"/>
      <c r="H89" s="239" t="s">
        <v>151</v>
      </c>
      <c r="I89" s="244"/>
      <c r="J89" s="239" t="s">
        <v>185</v>
      </c>
      <c r="K89" s="262"/>
      <c r="L89" s="246" t="s">
        <v>92</v>
      </c>
      <c r="M89" s="247"/>
      <c r="N89" s="24" t="s">
        <v>60</v>
      </c>
      <c r="O89" s="248" t="s">
        <v>68</v>
      </c>
      <c r="P89" s="249"/>
      <c r="Q89" s="250"/>
      <c r="R89" s="251" t="s">
        <v>69</v>
      </c>
      <c r="S89" s="252"/>
      <c r="T89" s="252"/>
      <c r="U89" s="253"/>
      <c r="W89" s="24" t="s">
        <v>60</v>
      </c>
      <c r="X89" s="248" t="s">
        <v>68</v>
      </c>
      <c r="Y89" s="249"/>
      <c r="Z89" s="250"/>
      <c r="AA89" s="251" t="s">
        <v>69</v>
      </c>
      <c r="AB89" s="252"/>
      <c r="AC89" s="252"/>
      <c r="AD89" s="253"/>
    </row>
    <row r="90" spans="1:30" ht="16.149999999999999" customHeight="1" x14ac:dyDescent="0.25">
      <c r="A90" s="238"/>
      <c r="B90" s="56" t="s">
        <v>235</v>
      </c>
      <c r="C90" s="49">
        <v>65</v>
      </c>
      <c r="D90" s="38" t="s">
        <v>238</v>
      </c>
      <c r="E90" s="39">
        <v>30</v>
      </c>
      <c r="F90" s="133" t="s">
        <v>187</v>
      </c>
      <c r="G90" s="39">
        <v>15</v>
      </c>
      <c r="H90" s="36" t="s">
        <v>155</v>
      </c>
      <c r="I90" s="37">
        <v>100</v>
      </c>
      <c r="J90" s="155" t="s">
        <v>188</v>
      </c>
      <c r="K90" s="88">
        <v>15</v>
      </c>
      <c r="L90" s="38" t="s">
        <v>97</v>
      </c>
      <c r="M90" s="39">
        <v>150</v>
      </c>
      <c r="N90" s="40" t="e">
        <f>S91</f>
        <v>#REF!</v>
      </c>
      <c r="O90" s="25" t="s">
        <v>61</v>
      </c>
      <c r="P90" s="68">
        <f>M90/20+M91/55</f>
        <v>7.5</v>
      </c>
      <c r="Q90" s="27" t="s">
        <v>63</v>
      </c>
      <c r="R90" s="89" t="s">
        <v>64</v>
      </c>
      <c r="S90" s="90" t="e">
        <f>P96</f>
        <v>#REF!</v>
      </c>
      <c r="T90" s="91" t="s">
        <v>66</v>
      </c>
      <c r="U90" s="92" t="s">
        <v>67</v>
      </c>
      <c r="W90" s="40">
        <f>AB91</f>
        <v>121</v>
      </c>
      <c r="X90" s="25" t="s">
        <v>61</v>
      </c>
      <c r="Y90" s="26">
        <f>M90/20</f>
        <v>7.5</v>
      </c>
      <c r="Z90" s="27" t="s">
        <v>63</v>
      </c>
      <c r="AA90" s="89" t="s">
        <v>64</v>
      </c>
      <c r="AB90" s="90">
        <f>Y96</f>
        <v>871.54285714285709</v>
      </c>
      <c r="AC90" s="91" t="s">
        <v>66</v>
      </c>
      <c r="AD90" s="92" t="s">
        <v>67</v>
      </c>
    </row>
    <row r="91" spans="1:30" ht="16.149999999999999" customHeight="1" x14ac:dyDescent="0.25">
      <c r="A91" s="238"/>
      <c r="B91" s="156" t="s">
        <v>98</v>
      </c>
      <c r="C91" s="49">
        <v>10</v>
      </c>
      <c r="D91" s="53" t="s">
        <v>239</v>
      </c>
      <c r="E91" s="55">
        <v>10</v>
      </c>
      <c r="F91" s="36" t="s">
        <v>96</v>
      </c>
      <c r="G91" s="55">
        <v>10</v>
      </c>
      <c r="H91" s="53"/>
      <c r="I91" s="54"/>
      <c r="J91" s="155" t="s">
        <v>103</v>
      </c>
      <c r="K91" s="70">
        <v>5</v>
      </c>
      <c r="L91" s="56"/>
      <c r="M91" s="57"/>
      <c r="N91" s="58" t="s">
        <v>74</v>
      </c>
      <c r="O91" s="41" t="s">
        <v>70</v>
      </c>
      <c r="P91" s="42" t="e">
        <f>#REF!/35+G94/40+#REF!/20+#REF!*0.6/40</f>
        <v>#REF!</v>
      </c>
      <c r="Q91" s="43" t="s">
        <v>63</v>
      </c>
      <c r="R91" s="44" t="s">
        <v>71</v>
      </c>
      <c r="S91" s="45" t="e">
        <f>P90*15+P92*5+P93*15+P94*12</f>
        <v>#REF!</v>
      </c>
      <c r="T91" s="43" t="s">
        <v>73</v>
      </c>
      <c r="U91" s="46" t="e">
        <f>S91*4/S90</f>
        <v>#REF!</v>
      </c>
      <c r="W91" s="58" t="s">
        <v>74</v>
      </c>
      <c r="X91" s="41" t="s">
        <v>70</v>
      </c>
      <c r="Y91" s="42">
        <f>C90/35+E90/50+G91/35+K92*0.6/35</f>
        <v>2.9142857142857141</v>
      </c>
      <c r="Z91" s="43" t="s">
        <v>63</v>
      </c>
      <c r="AA91" s="44" t="s">
        <v>71</v>
      </c>
      <c r="AB91" s="45">
        <f>Y90*15+Y92*5+Y93*15+Y94*12</f>
        <v>121</v>
      </c>
      <c r="AC91" s="43" t="s">
        <v>73</v>
      </c>
      <c r="AD91" s="46">
        <f>AB91*4/AB90</f>
        <v>0.55533700498295313</v>
      </c>
    </row>
    <row r="92" spans="1:30" ht="16.149999999999999" customHeight="1" x14ac:dyDescent="0.25">
      <c r="A92" s="238"/>
      <c r="B92" s="56" t="s">
        <v>103</v>
      </c>
      <c r="C92" s="49">
        <v>5</v>
      </c>
      <c r="D92" s="56" t="s">
        <v>213</v>
      </c>
      <c r="E92" s="57">
        <v>5</v>
      </c>
      <c r="F92" s="36" t="s">
        <v>103</v>
      </c>
      <c r="G92" s="55">
        <v>5</v>
      </c>
      <c r="H92" s="63"/>
      <c r="I92" s="55"/>
      <c r="J92" s="155" t="s">
        <v>147</v>
      </c>
      <c r="K92" s="127">
        <v>10</v>
      </c>
      <c r="L92" s="56"/>
      <c r="M92" s="57"/>
      <c r="N92" s="40" t="e">
        <f>S92</f>
        <v>#REF!</v>
      </c>
      <c r="O92" s="59" t="s">
        <v>76</v>
      </c>
      <c r="P92" s="42" t="e">
        <f>(C90+G90+G91+G92+G93+#REF!+#REF!+I90+#REF!)/100</f>
        <v>#REF!</v>
      </c>
      <c r="Q92" s="43" t="s">
        <v>63</v>
      </c>
      <c r="R92" s="44" t="s">
        <v>78</v>
      </c>
      <c r="S92" s="45" t="e">
        <f>P91*5+P94*4+P95*5</f>
        <v>#REF!</v>
      </c>
      <c r="T92" s="43" t="s">
        <v>73</v>
      </c>
      <c r="U92" s="46" t="e">
        <f>S92*9/S90</f>
        <v>#REF!</v>
      </c>
      <c r="W92" s="40">
        <f>AB92</f>
        <v>26.571428571428569</v>
      </c>
      <c r="X92" s="59" t="s">
        <v>76</v>
      </c>
      <c r="Y92" s="42">
        <f>(C91+C92+E91+E92+E93+E94+G90+G92+I90+K90+K91)/100</f>
        <v>1.7</v>
      </c>
      <c r="Z92" s="43" t="s">
        <v>63</v>
      </c>
      <c r="AA92" s="44" t="s">
        <v>78</v>
      </c>
      <c r="AB92" s="45">
        <f>Y91*5+Y94*4+Y95*5</f>
        <v>26.571428571428569</v>
      </c>
      <c r="AC92" s="43" t="s">
        <v>73</v>
      </c>
      <c r="AD92" s="46">
        <f>AB92*9/AB90</f>
        <v>0.27439024390243899</v>
      </c>
    </row>
    <row r="93" spans="1:30" ht="16.149999999999999" customHeight="1" x14ac:dyDescent="0.25">
      <c r="A93" s="238"/>
      <c r="B93" s="56" t="s">
        <v>236</v>
      </c>
      <c r="C93" s="49">
        <v>10</v>
      </c>
      <c r="D93" s="66"/>
      <c r="E93" s="157"/>
      <c r="F93" s="36"/>
      <c r="G93" s="57"/>
      <c r="H93" s="63"/>
      <c r="I93" s="55"/>
      <c r="J93" s="158" t="s">
        <v>121</v>
      </c>
      <c r="K93" s="159">
        <v>0.4</v>
      </c>
      <c r="L93" s="56"/>
      <c r="M93" s="57"/>
      <c r="N93" s="58" t="s">
        <v>81</v>
      </c>
      <c r="O93" s="67" t="s">
        <v>79</v>
      </c>
      <c r="P93" s="68">
        <v>0</v>
      </c>
      <c r="Q93" s="43" t="s">
        <v>63</v>
      </c>
      <c r="R93" s="44" t="s">
        <v>80</v>
      </c>
      <c r="S93" s="45" t="e">
        <f>P90*2+P91*7+P92*1+P94*8</f>
        <v>#REF!</v>
      </c>
      <c r="T93" s="43" t="s">
        <v>73</v>
      </c>
      <c r="U93" s="46" t="e">
        <f>S93*4/S90</f>
        <v>#REF!</v>
      </c>
      <c r="W93" s="58" t="s">
        <v>81</v>
      </c>
      <c r="X93" s="71" t="s">
        <v>79</v>
      </c>
      <c r="Y93" s="68">
        <v>0</v>
      </c>
      <c r="Z93" s="43" t="s">
        <v>63</v>
      </c>
      <c r="AA93" s="44" t="s">
        <v>80</v>
      </c>
      <c r="AB93" s="45">
        <f>Y90*2+Y91*7+Y92*1+Y94*8</f>
        <v>37.1</v>
      </c>
      <c r="AC93" s="43" t="s">
        <v>73</v>
      </c>
      <c r="AD93" s="46">
        <f>AB93*4/AB90</f>
        <v>0.17027275111460793</v>
      </c>
    </row>
    <row r="94" spans="1:30" ht="16.149999999999999" customHeight="1" x14ac:dyDescent="0.25">
      <c r="A94" s="238" t="s">
        <v>88</v>
      </c>
      <c r="B94" s="103"/>
      <c r="C94" s="70"/>
      <c r="D94" s="61"/>
      <c r="E94" s="105"/>
      <c r="F94" s="56"/>
      <c r="G94" s="160"/>
      <c r="H94" s="63"/>
      <c r="I94" s="55"/>
      <c r="J94" s="161"/>
      <c r="K94" s="70"/>
      <c r="L94" s="56"/>
      <c r="M94" s="57"/>
      <c r="N94" s="40" t="e">
        <f>S93</f>
        <v>#REF!</v>
      </c>
      <c r="O94" s="71" t="s">
        <v>82</v>
      </c>
      <c r="P94" s="68">
        <v>0</v>
      </c>
      <c r="Q94" s="43" t="s">
        <v>63</v>
      </c>
      <c r="R94" s="72"/>
      <c r="S94" s="72"/>
      <c r="T94" s="72"/>
      <c r="U94" s="73" t="e">
        <f>SUM(U91:U93)</f>
        <v>#REF!</v>
      </c>
      <c r="W94" s="40">
        <f>AB93</f>
        <v>37.1</v>
      </c>
      <c r="X94" s="71" t="s">
        <v>82</v>
      </c>
      <c r="Y94" s="68">
        <v>0</v>
      </c>
      <c r="Z94" s="43" t="s">
        <v>63</v>
      </c>
      <c r="AA94" s="72"/>
      <c r="AB94" s="72"/>
      <c r="AC94" s="72"/>
      <c r="AD94" s="73">
        <f>SUM(AD91:AD93)</f>
        <v>1</v>
      </c>
    </row>
    <row r="95" spans="1:30" ht="16.149999999999999" customHeight="1" x14ac:dyDescent="0.25">
      <c r="A95" s="238"/>
      <c r="B95" s="103"/>
      <c r="C95" s="70"/>
      <c r="D95" s="69"/>
      <c r="E95" s="153"/>
      <c r="F95" s="36"/>
      <c r="G95" s="57"/>
      <c r="H95" s="63"/>
      <c r="I95" s="55"/>
      <c r="J95" s="161"/>
      <c r="K95" s="70"/>
      <c r="L95" s="113"/>
      <c r="M95" s="114"/>
      <c r="N95" s="58" t="s">
        <v>85</v>
      </c>
      <c r="O95" s="75" t="s">
        <v>84</v>
      </c>
      <c r="P95" s="68">
        <v>2.5</v>
      </c>
      <c r="Q95" s="43" t="s">
        <v>63</v>
      </c>
      <c r="R95" s="76"/>
      <c r="S95" s="76"/>
      <c r="T95" s="76"/>
      <c r="U95" s="77"/>
      <c r="W95" s="58" t="s">
        <v>85</v>
      </c>
      <c r="X95" s="75" t="s">
        <v>84</v>
      </c>
      <c r="Y95" s="68">
        <v>2.4</v>
      </c>
      <c r="Z95" s="43" t="s">
        <v>63</v>
      </c>
      <c r="AA95" s="76"/>
      <c r="AB95" s="76"/>
      <c r="AC95" s="76"/>
      <c r="AD95" s="77"/>
    </row>
    <row r="96" spans="1:30" ht="16.149999999999999" customHeight="1" thickBot="1" x14ac:dyDescent="0.3">
      <c r="A96" s="254"/>
      <c r="B96" s="255" t="s">
        <v>111</v>
      </c>
      <c r="C96" s="256"/>
      <c r="D96" s="255" t="s">
        <v>240</v>
      </c>
      <c r="E96" s="256"/>
      <c r="F96" s="255" t="s">
        <v>109</v>
      </c>
      <c r="G96" s="256"/>
      <c r="H96" s="255" t="s">
        <v>110</v>
      </c>
      <c r="I96" s="256"/>
      <c r="J96" s="255" t="s">
        <v>111</v>
      </c>
      <c r="K96" s="256"/>
      <c r="L96" s="255" t="s">
        <v>112</v>
      </c>
      <c r="M96" s="256"/>
      <c r="N96" s="83" t="e">
        <f>P96</f>
        <v>#REF!</v>
      </c>
      <c r="O96" s="78" t="s">
        <v>87</v>
      </c>
      <c r="P96" s="79" t="e">
        <f>P90*68+P91*73+P92*24+P93*60+P94*112+P95*45</f>
        <v>#REF!</v>
      </c>
      <c r="Q96" s="80" t="s">
        <v>66</v>
      </c>
      <c r="R96" s="81"/>
      <c r="S96" s="81"/>
      <c r="T96" s="81"/>
      <c r="U96" s="82"/>
      <c r="W96" s="83">
        <f>Y96</f>
        <v>871.54285714285709</v>
      </c>
      <c r="X96" s="78" t="s">
        <v>87</v>
      </c>
      <c r="Y96" s="79">
        <f>Y90*68+Y91*73+Y92*24+Y93*60+Y94*112+Y95*45</f>
        <v>871.54285714285709</v>
      </c>
      <c r="Z96" s="80" t="s">
        <v>66</v>
      </c>
      <c r="AA96" s="81"/>
      <c r="AB96" s="81"/>
      <c r="AC96" s="81"/>
      <c r="AD96" s="82"/>
    </row>
    <row r="97" spans="1:30" ht="16.149999999999999" customHeight="1" thickBot="1" x14ac:dyDescent="0.3">
      <c r="A97" s="237">
        <f>A89+1</f>
        <v>44027</v>
      </c>
      <c r="B97" s="242"/>
      <c r="C97" s="261"/>
      <c r="D97" s="242"/>
      <c r="E97" s="243"/>
      <c r="F97" s="242"/>
      <c r="G97" s="243"/>
      <c r="H97" s="239"/>
      <c r="I97" s="244"/>
      <c r="J97" s="242"/>
      <c r="K97" s="243"/>
      <c r="L97" s="278"/>
      <c r="M97" s="278"/>
      <c r="N97" s="24" t="s">
        <v>60</v>
      </c>
      <c r="O97" s="248" t="s">
        <v>68</v>
      </c>
      <c r="P97" s="249"/>
      <c r="Q97" s="250"/>
      <c r="R97" s="251" t="s">
        <v>69</v>
      </c>
      <c r="S97" s="252"/>
      <c r="T97" s="252"/>
      <c r="U97" s="253"/>
      <c r="W97" s="24" t="s">
        <v>60</v>
      </c>
      <c r="X97" s="248" t="s">
        <v>68</v>
      </c>
      <c r="Y97" s="249"/>
      <c r="Z97" s="250"/>
      <c r="AA97" s="251" t="s">
        <v>69</v>
      </c>
      <c r="AB97" s="252"/>
      <c r="AC97" s="252"/>
      <c r="AD97" s="253"/>
    </row>
    <row r="98" spans="1:30" ht="16.149999999999999" customHeight="1" x14ac:dyDescent="0.25">
      <c r="A98" s="238"/>
      <c r="B98" s="87"/>
      <c r="C98" s="88"/>
      <c r="D98" s="38"/>
      <c r="E98" s="162"/>
      <c r="F98" s="38"/>
      <c r="G98" s="162"/>
      <c r="H98" s="35"/>
      <c r="I98" s="37"/>
      <c r="J98" s="163"/>
      <c r="K98" s="39"/>
      <c r="L98" s="164"/>
      <c r="M98" s="165"/>
      <c r="N98" s="40" t="e">
        <f>S99</f>
        <v>#REF!</v>
      </c>
      <c r="O98" s="25" t="s">
        <v>61</v>
      </c>
      <c r="P98" s="68">
        <f>C100/90+M98/20</f>
        <v>0</v>
      </c>
      <c r="Q98" s="27" t="s">
        <v>63</v>
      </c>
      <c r="R98" s="89" t="s">
        <v>64</v>
      </c>
      <c r="S98" s="90" t="e">
        <f>P104</f>
        <v>#REF!</v>
      </c>
      <c r="T98" s="91" t="s">
        <v>66</v>
      </c>
      <c r="U98" s="108"/>
      <c r="W98" s="40">
        <f>AB99</f>
        <v>0</v>
      </c>
      <c r="X98" s="25" t="s">
        <v>61</v>
      </c>
      <c r="Y98" s="26">
        <f>M98/20+G98/90</f>
        <v>0</v>
      </c>
      <c r="Z98" s="27" t="s">
        <v>63</v>
      </c>
      <c r="AA98" s="89" t="s">
        <v>64</v>
      </c>
      <c r="AB98" s="90">
        <f>Y104</f>
        <v>108</v>
      </c>
      <c r="AC98" s="91" t="s">
        <v>66</v>
      </c>
      <c r="AD98" s="108"/>
    </row>
    <row r="99" spans="1:30" ht="16.149999999999999" customHeight="1" x14ac:dyDescent="0.25">
      <c r="A99" s="238"/>
      <c r="B99" s="53"/>
      <c r="C99" s="55"/>
      <c r="D99" s="53"/>
      <c r="E99" s="54"/>
      <c r="F99" s="53"/>
      <c r="G99" s="54"/>
      <c r="H99" s="120"/>
      <c r="I99" s="65"/>
      <c r="J99" s="120"/>
      <c r="K99" s="55"/>
      <c r="L99" s="99"/>
      <c r="M99" s="100"/>
      <c r="N99" s="58" t="s">
        <v>74</v>
      </c>
      <c r="O99" s="41" t="s">
        <v>70</v>
      </c>
      <c r="P99" s="42" t="e">
        <f>C98*0.68/40+#REF!/35+E100/25+E102/3/35+K98/225</f>
        <v>#REF!</v>
      </c>
      <c r="Q99" s="43" t="s">
        <v>63</v>
      </c>
      <c r="R99" s="44" t="s">
        <v>71</v>
      </c>
      <c r="S99" s="45" t="e">
        <f>P98*15+P100*5+P101*15+P102*12</f>
        <v>#REF!</v>
      </c>
      <c r="T99" s="43" t="s">
        <v>73</v>
      </c>
      <c r="U99" s="46" t="e">
        <f>S99*4/S98</f>
        <v>#REF!</v>
      </c>
      <c r="W99" s="58" t="s">
        <v>74</v>
      </c>
      <c r="X99" s="41" t="s">
        <v>70</v>
      </c>
      <c r="Y99" s="42">
        <f>C98*0.6/40+K99/55+E99/35</f>
        <v>0</v>
      </c>
      <c r="Z99" s="43" t="s">
        <v>63</v>
      </c>
      <c r="AA99" s="44" t="s">
        <v>71</v>
      </c>
      <c r="AB99" s="45">
        <f>Y98*15+Y100*5+Y101*15+Y102*12</f>
        <v>0</v>
      </c>
      <c r="AC99" s="43" t="s">
        <v>73</v>
      </c>
      <c r="AD99" s="46">
        <f>AB99*4/AB98</f>
        <v>0</v>
      </c>
    </row>
    <row r="100" spans="1:30" ht="16.149999999999999" customHeight="1" x14ac:dyDescent="0.25">
      <c r="A100" s="238"/>
      <c r="B100" s="53"/>
      <c r="C100" s="55"/>
      <c r="D100" s="53"/>
      <c r="E100" s="54"/>
      <c r="F100" s="53"/>
      <c r="G100" s="54"/>
      <c r="H100" s="120"/>
      <c r="I100" s="55"/>
      <c r="J100" s="120"/>
      <c r="K100" s="57"/>
      <c r="L100" s="99"/>
      <c r="M100" s="100"/>
      <c r="N100" s="40" t="e">
        <f>S100</f>
        <v>#REF!</v>
      </c>
      <c r="O100" s="59" t="s">
        <v>76</v>
      </c>
      <c r="P100" s="42" t="e">
        <f>(C101+E98+E99+G98+G99+#REF!+G101+I98+K99+K100+K101)/100</f>
        <v>#REF!</v>
      </c>
      <c r="Q100" s="43" t="s">
        <v>63</v>
      </c>
      <c r="R100" s="44" t="s">
        <v>78</v>
      </c>
      <c r="S100" s="45" t="e">
        <f>P99*5+P102*4+P103*5</f>
        <v>#REF!</v>
      </c>
      <c r="T100" s="43" t="s">
        <v>73</v>
      </c>
      <c r="U100" s="46" t="e">
        <f>S100*9/S98</f>
        <v>#REF!</v>
      </c>
      <c r="W100" s="40">
        <f>AB100</f>
        <v>12</v>
      </c>
      <c r="X100" s="59" t="s">
        <v>76</v>
      </c>
      <c r="Y100" s="42">
        <f>(C99+E100+G100+I98+K98+E98+G99+E101)/100</f>
        <v>0</v>
      </c>
      <c r="Z100" s="43" t="s">
        <v>63</v>
      </c>
      <c r="AA100" s="44" t="s">
        <v>78</v>
      </c>
      <c r="AB100" s="45">
        <f>Y99*5+Y102*4+Y103*5</f>
        <v>12</v>
      </c>
      <c r="AC100" s="43" t="s">
        <v>73</v>
      </c>
      <c r="AD100" s="46">
        <f>AB100*9/AB98</f>
        <v>1</v>
      </c>
    </row>
    <row r="101" spans="1:30" ht="16.149999999999999" customHeight="1" x14ac:dyDescent="0.25">
      <c r="A101" s="238"/>
      <c r="B101" s="53"/>
      <c r="C101" s="160"/>
      <c r="D101" s="96"/>
      <c r="E101" s="34"/>
      <c r="F101" s="96"/>
      <c r="G101" s="34"/>
      <c r="H101" s="120"/>
      <c r="I101" s="55"/>
      <c r="J101" s="120"/>
      <c r="K101" s="57"/>
      <c r="L101" s="103"/>
      <c r="M101" s="70"/>
      <c r="N101" s="58" t="s">
        <v>81</v>
      </c>
      <c r="O101" s="67" t="s">
        <v>79</v>
      </c>
      <c r="P101" s="68">
        <v>0</v>
      </c>
      <c r="Q101" s="43" t="s">
        <v>63</v>
      </c>
      <c r="R101" s="44" t="s">
        <v>80</v>
      </c>
      <c r="S101" s="45" t="e">
        <f>P98*2+P99*7+P100*1+P102*8</f>
        <v>#REF!</v>
      </c>
      <c r="T101" s="43" t="s">
        <v>73</v>
      </c>
      <c r="U101" s="46" t="e">
        <f>S101*4/S98</f>
        <v>#REF!</v>
      </c>
      <c r="W101" s="58" t="s">
        <v>81</v>
      </c>
      <c r="X101" s="71" t="s">
        <v>79</v>
      </c>
      <c r="Y101" s="68">
        <v>0</v>
      </c>
      <c r="Z101" s="43" t="s">
        <v>63</v>
      </c>
      <c r="AA101" s="44" t="s">
        <v>80</v>
      </c>
      <c r="AB101" s="45">
        <f>Y98*2+Y99*7+Y100*1+Y102*8</f>
        <v>0</v>
      </c>
      <c r="AC101" s="43" t="s">
        <v>73</v>
      </c>
      <c r="AD101" s="46">
        <f>AB101*4/AB98</f>
        <v>0</v>
      </c>
    </row>
    <row r="102" spans="1:30" ht="16.149999999999999" customHeight="1" x14ac:dyDescent="0.25">
      <c r="A102" s="238" t="s">
        <v>106</v>
      </c>
      <c r="B102" s="53"/>
      <c r="C102" s="147"/>
      <c r="D102" s="145"/>
      <c r="E102" s="54"/>
      <c r="F102" s="145"/>
      <c r="G102" s="54"/>
      <c r="H102" s="120"/>
      <c r="I102" s="55"/>
      <c r="J102" s="166"/>
      <c r="K102" s="127"/>
      <c r="L102" s="99"/>
      <c r="M102" s="100"/>
      <c r="N102" s="40" t="e">
        <f>S101</f>
        <v>#REF!</v>
      </c>
      <c r="O102" s="71" t="s">
        <v>82</v>
      </c>
      <c r="P102" s="68">
        <v>0</v>
      </c>
      <c r="Q102" s="43" t="s">
        <v>63</v>
      </c>
      <c r="R102" s="72"/>
      <c r="S102" s="72"/>
      <c r="T102" s="72"/>
      <c r="U102" s="73" t="e">
        <f>SUM(U99:U101)</f>
        <v>#REF!</v>
      </c>
      <c r="W102" s="40">
        <f>AB101</f>
        <v>0</v>
      </c>
      <c r="X102" s="71" t="s">
        <v>82</v>
      </c>
      <c r="Y102" s="68">
        <v>0</v>
      </c>
      <c r="Z102" s="43" t="s">
        <v>63</v>
      </c>
      <c r="AA102" s="72"/>
      <c r="AB102" s="72"/>
      <c r="AC102" s="72"/>
      <c r="AD102" s="73">
        <f>SUM(AD99:AD101)</f>
        <v>1</v>
      </c>
    </row>
    <row r="103" spans="1:30" ht="16.149999999999999" customHeight="1" x14ac:dyDescent="0.25">
      <c r="A103" s="238"/>
      <c r="B103" s="56"/>
      <c r="C103" s="49"/>
      <c r="D103" s="61"/>
      <c r="E103" s="105"/>
      <c r="F103" s="61"/>
      <c r="G103" s="105"/>
      <c r="H103" s="137"/>
      <c r="I103" s="114"/>
      <c r="J103" s="130"/>
      <c r="K103" s="129"/>
      <c r="L103" s="167"/>
      <c r="M103" s="127"/>
      <c r="N103" s="58" t="s">
        <v>85</v>
      </c>
      <c r="O103" s="75" t="s">
        <v>84</v>
      </c>
      <c r="P103" s="68">
        <v>2.5</v>
      </c>
      <c r="Q103" s="43" t="s">
        <v>63</v>
      </c>
      <c r="R103" s="76"/>
      <c r="S103" s="76"/>
      <c r="T103" s="76"/>
      <c r="U103" s="77"/>
      <c r="W103" s="58" t="s">
        <v>85</v>
      </c>
      <c r="X103" s="75" t="s">
        <v>84</v>
      </c>
      <c r="Y103" s="68">
        <v>2.4</v>
      </c>
      <c r="Z103" s="43" t="s">
        <v>63</v>
      </c>
      <c r="AA103" s="76"/>
      <c r="AB103" s="76"/>
      <c r="AC103" s="76"/>
      <c r="AD103" s="77"/>
    </row>
    <row r="104" spans="1:30" ht="16.149999999999999" customHeight="1" thickBot="1" x14ac:dyDescent="0.3">
      <c r="A104" s="254"/>
      <c r="B104" s="255"/>
      <c r="C104" s="256"/>
      <c r="D104" s="274"/>
      <c r="E104" s="258"/>
      <c r="F104" s="274"/>
      <c r="G104" s="258"/>
      <c r="H104" s="255"/>
      <c r="I104" s="256"/>
      <c r="J104" s="255"/>
      <c r="K104" s="256"/>
      <c r="L104" s="255"/>
      <c r="M104" s="256"/>
      <c r="N104" s="83" t="e">
        <f>P104</f>
        <v>#REF!</v>
      </c>
      <c r="O104" s="78" t="s">
        <v>87</v>
      </c>
      <c r="P104" s="79" t="e">
        <f>P98*68+P99*73+P100*24+P101*60+P102*112+P103*45</f>
        <v>#REF!</v>
      </c>
      <c r="Q104" s="80" t="s">
        <v>66</v>
      </c>
      <c r="R104" s="81"/>
      <c r="S104" s="81"/>
      <c r="T104" s="81"/>
      <c r="U104" s="82"/>
      <c r="W104" s="83">
        <f>Y104</f>
        <v>108</v>
      </c>
      <c r="X104" s="78" t="s">
        <v>87</v>
      </c>
      <c r="Y104" s="79">
        <f>Y98*68+Y99*73+Y100*24+Y101*60+Y102*112+Y103*45</f>
        <v>108</v>
      </c>
      <c r="Z104" s="80" t="s">
        <v>66</v>
      </c>
      <c r="AA104" s="81"/>
      <c r="AB104" s="81"/>
      <c r="AC104" s="81"/>
      <c r="AD104" s="82"/>
    </row>
    <row r="105" spans="1:30" ht="16.149999999999999" customHeight="1" thickBot="1" x14ac:dyDescent="0.3">
      <c r="A105" s="237">
        <f>A97+1</f>
        <v>44028</v>
      </c>
      <c r="B105" s="242"/>
      <c r="C105" s="243"/>
      <c r="D105" s="242"/>
      <c r="E105" s="243"/>
      <c r="F105" s="242"/>
      <c r="G105" s="243"/>
      <c r="H105" s="239"/>
      <c r="I105" s="244"/>
      <c r="J105" s="242"/>
      <c r="K105" s="243"/>
      <c r="L105" s="246"/>
      <c r="M105" s="247"/>
      <c r="N105" s="24" t="s">
        <v>60</v>
      </c>
      <c r="O105" s="248" t="s">
        <v>68</v>
      </c>
      <c r="P105" s="249"/>
      <c r="Q105" s="250"/>
      <c r="R105" s="251" t="s">
        <v>69</v>
      </c>
      <c r="S105" s="252"/>
      <c r="T105" s="252"/>
      <c r="U105" s="253"/>
      <c r="W105" s="24" t="s">
        <v>60</v>
      </c>
      <c r="X105" s="248" t="s">
        <v>68</v>
      </c>
      <c r="Y105" s="249"/>
      <c r="Z105" s="250"/>
      <c r="AA105" s="251" t="s">
        <v>69</v>
      </c>
      <c r="AB105" s="252"/>
      <c r="AC105" s="252"/>
      <c r="AD105" s="253"/>
    </row>
    <row r="106" spans="1:30" ht="16.149999999999999" customHeight="1" x14ac:dyDescent="0.25">
      <c r="A106" s="238"/>
      <c r="B106" s="87"/>
      <c r="C106" s="39"/>
      <c r="D106" s="31"/>
      <c r="E106" s="32"/>
      <c r="F106" s="63"/>
      <c r="G106" s="55"/>
      <c r="H106" s="133"/>
      <c r="I106" s="150"/>
      <c r="J106" s="87"/>
      <c r="K106" s="88"/>
      <c r="L106" s="38"/>
      <c r="M106" s="39"/>
      <c r="N106" s="40">
        <f>S107</f>
        <v>0.44999999999999996</v>
      </c>
      <c r="O106" s="25" t="s">
        <v>61</v>
      </c>
      <c r="P106" s="68">
        <f>E106/65+E108/45+E109/90+M106/20</f>
        <v>0</v>
      </c>
      <c r="Q106" s="27" t="s">
        <v>63</v>
      </c>
      <c r="R106" s="89" t="s">
        <v>64</v>
      </c>
      <c r="S106" s="90">
        <f>P112</f>
        <v>134.99571428571429</v>
      </c>
      <c r="T106" s="91" t="s">
        <v>66</v>
      </c>
      <c r="U106" s="92" t="s">
        <v>67</v>
      </c>
      <c r="W106" s="40">
        <f>AB107</f>
        <v>0</v>
      </c>
      <c r="X106" s="25" t="s">
        <v>61</v>
      </c>
      <c r="Y106" s="26">
        <f>M106/20+M107/20+K107*0.3/35</f>
        <v>0</v>
      </c>
      <c r="Z106" s="27" t="s">
        <v>63</v>
      </c>
      <c r="AA106" s="89" t="s">
        <v>64</v>
      </c>
      <c r="AB106" s="90">
        <f>Y112</f>
        <v>108</v>
      </c>
      <c r="AC106" s="91" t="s">
        <v>66</v>
      </c>
      <c r="AD106" s="92" t="s">
        <v>67</v>
      </c>
    </row>
    <row r="107" spans="1:30" ht="16.149999999999999" customHeight="1" x14ac:dyDescent="0.25">
      <c r="A107" s="238"/>
      <c r="B107" s="63"/>
      <c r="C107" s="57"/>
      <c r="D107" s="66"/>
      <c r="E107" s="49"/>
      <c r="F107" s="36"/>
      <c r="G107" s="34"/>
      <c r="H107" s="130"/>
      <c r="I107" s="129"/>
      <c r="J107" s="69"/>
      <c r="K107" s="70"/>
      <c r="L107" s="56"/>
      <c r="M107" s="57"/>
      <c r="N107" s="58" t="s">
        <v>74</v>
      </c>
      <c r="O107" s="41" t="s">
        <v>70</v>
      </c>
      <c r="P107" s="42">
        <f>C106/35+E110/35+G109/35+K83*0.65/35</f>
        <v>0.27857142857142858</v>
      </c>
      <c r="Q107" s="43" t="s">
        <v>63</v>
      </c>
      <c r="R107" s="44" t="s">
        <v>71</v>
      </c>
      <c r="S107" s="45">
        <f>P106*15+P108*5+P109*15+P110*12</f>
        <v>0.44999999999999996</v>
      </c>
      <c r="T107" s="43" t="s">
        <v>73</v>
      </c>
      <c r="U107" s="46">
        <f>S107*4/S106</f>
        <v>1.3333756627194512E-2</v>
      </c>
      <c r="W107" s="58" t="s">
        <v>74</v>
      </c>
      <c r="X107" s="41" t="s">
        <v>70</v>
      </c>
      <c r="Y107" s="42">
        <f>C106/35+E106/55+G107/40+K107*0.3/35</f>
        <v>0</v>
      </c>
      <c r="Z107" s="43" t="s">
        <v>63</v>
      </c>
      <c r="AA107" s="44" t="s">
        <v>71</v>
      </c>
      <c r="AB107" s="45">
        <f>Y106*15+Y108*5+Y109*15+Y110*12</f>
        <v>0</v>
      </c>
      <c r="AC107" s="43" t="s">
        <v>73</v>
      </c>
      <c r="AD107" s="46">
        <f>AB107*4/AB106</f>
        <v>0</v>
      </c>
    </row>
    <row r="108" spans="1:30" ht="16.149999999999999" customHeight="1" x14ac:dyDescent="0.25">
      <c r="A108" s="238"/>
      <c r="B108" s="145"/>
      <c r="C108" s="57"/>
      <c r="D108" s="53"/>
      <c r="E108" s="49"/>
      <c r="F108" s="53"/>
      <c r="G108" s="55"/>
      <c r="H108" s="66"/>
      <c r="I108" s="57"/>
      <c r="J108" s="138"/>
      <c r="K108" s="65"/>
      <c r="L108" s="66"/>
      <c r="M108" s="114"/>
      <c r="N108" s="40">
        <f>S108</f>
        <v>13.892857142857142</v>
      </c>
      <c r="O108" s="59" t="s">
        <v>76</v>
      </c>
      <c r="P108" s="42">
        <f>(E107+E111+G106+G107+G108+I106+K82)/100</f>
        <v>0.09</v>
      </c>
      <c r="Q108" s="43" t="s">
        <v>63</v>
      </c>
      <c r="R108" s="44" t="s">
        <v>78</v>
      </c>
      <c r="S108" s="45">
        <f>P107*5+P110*4+P111*5</f>
        <v>13.892857142857142</v>
      </c>
      <c r="T108" s="43" t="s">
        <v>73</v>
      </c>
      <c r="U108" s="46">
        <f>S108*9/S106</f>
        <v>0.92621987999619027</v>
      </c>
      <c r="W108" s="40">
        <f>AB108</f>
        <v>12</v>
      </c>
      <c r="X108" s="59" t="s">
        <v>76</v>
      </c>
      <c r="Y108" s="42">
        <f>(C107+C108+E108+E109+E107+G106+G108+I106+K106)/100</f>
        <v>0</v>
      </c>
      <c r="Z108" s="43" t="s">
        <v>63</v>
      </c>
      <c r="AA108" s="44" t="s">
        <v>78</v>
      </c>
      <c r="AB108" s="45">
        <f>Y107*5+Y110*4+Y111*5</f>
        <v>12</v>
      </c>
      <c r="AC108" s="43" t="s">
        <v>73</v>
      </c>
      <c r="AD108" s="46">
        <f>AB108*9/AB106</f>
        <v>1</v>
      </c>
    </row>
    <row r="109" spans="1:30" ht="16.149999999999999" customHeight="1" x14ac:dyDescent="0.25">
      <c r="A109" s="238"/>
      <c r="B109" s="69"/>
      <c r="C109" s="70"/>
      <c r="D109" s="101"/>
      <c r="E109" s="154"/>
      <c r="F109" s="53"/>
      <c r="G109" s="55"/>
      <c r="H109" s="61"/>
      <c r="I109" s="62"/>
      <c r="J109" s="66"/>
      <c r="K109" s="114"/>
      <c r="L109" s="66"/>
      <c r="M109" s="114"/>
      <c r="N109" s="58" t="s">
        <v>81</v>
      </c>
      <c r="O109" s="67" t="s">
        <v>79</v>
      </c>
      <c r="P109" s="68">
        <v>0</v>
      </c>
      <c r="Q109" s="43" t="s">
        <v>63</v>
      </c>
      <c r="R109" s="44" t="s">
        <v>80</v>
      </c>
      <c r="S109" s="45">
        <f>P106*2+P107*7+P108*1+P110*8</f>
        <v>2.04</v>
      </c>
      <c r="T109" s="43" t="s">
        <v>73</v>
      </c>
      <c r="U109" s="46">
        <f>S109*4/S106</f>
        <v>6.0446363376615131E-2</v>
      </c>
      <c r="W109" s="58" t="s">
        <v>81</v>
      </c>
      <c r="X109" s="71" t="s">
        <v>79</v>
      </c>
      <c r="Y109" s="68">
        <v>0</v>
      </c>
      <c r="Z109" s="43" t="s">
        <v>63</v>
      </c>
      <c r="AA109" s="44" t="s">
        <v>80</v>
      </c>
      <c r="AB109" s="45">
        <f>Y106*2+Y107*7+Y108*1+Y110*8</f>
        <v>0</v>
      </c>
      <c r="AC109" s="43" t="s">
        <v>73</v>
      </c>
      <c r="AD109" s="46">
        <f>AB109*4/AB106</f>
        <v>0</v>
      </c>
    </row>
    <row r="110" spans="1:30" ht="16.149999999999999" customHeight="1" x14ac:dyDescent="0.25">
      <c r="A110" s="238" t="s">
        <v>126</v>
      </c>
      <c r="B110" s="69"/>
      <c r="C110" s="70"/>
      <c r="D110" s="69"/>
      <c r="E110" s="70"/>
      <c r="F110" s="137"/>
      <c r="G110" s="55"/>
      <c r="H110" s="69"/>
      <c r="I110" s="153"/>
      <c r="J110" s="66"/>
      <c r="K110" s="114"/>
      <c r="L110" s="66"/>
      <c r="M110" s="114"/>
      <c r="N110" s="40">
        <f>S109</f>
        <v>2.04</v>
      </c>
      <c r="O110" s="71" t="s">
        <v>82</v>
      </c>
      <c r="P110" s="68">
        <v>0</v>
      </c>
      <c r="Q110" s="43" t="s">
        <v>63</v>
      </c>
      <c r="R110" s="72"/>
      <c r="S110" s="72"/>
      <c r="T110" s="72"/>
      <c r="U110" s="73">
        <f>SUM(U107:U109)</f>
        <v>0.99999999999999989</v>
      </c>
      <c r="W110" s="40">
        <f>AB109</f>
        <v>0</v>
      </c>
      <c r="X110" s="71" t="s">
        <v>82</v>
      </c>
      <c r="Y110" s="68">
        <v>0</v>
      </c>
      <c r="Z110" s="43" t="s">
        <v>63</v>
      </c>
      <c r="AA110" s="72"/>
      <c r="AB110" s="72"/>
      <c r="AC110" s="72"/>
      <c r="AD110" s="73">
        <f>SUM(AD107:AD109)</f>
        <v>1</v>
      </c>
    </row>
    <row r="111" spans="1:30" ht="16.149999999999999" customHeight="1" x14ac:dyDescent="0.25">
      <c r="A111" s="238"/>
      <c r="B111" s="69"/>
      <c r="C111" s="70"/>
      <c r="D111" s="66"/>
      <c r="E111" s="57"/>
      <c r="F111" s="63"/>
      <c r="G111" s="55"/>
      <c r="H111" s="69"/>
      <c r="I111" s="153"/>
      <c r="L111" s="56"/>
      <c r="M111" s="127"/>
      <c r="N111" s="58" t="s">
        <v>85</v>
      </c>
      <c r="O111" s="75" t="s">
        <v>84</v>
      </c>
      <c r="P111" s="68">
        <v>2.5</v>
      </c>
      <c r="Q111" s="43" t="s">
        <v>63</v>
      </c>
      <c r="R111" s="76"/>
      <c r="S111" s="76"/>
      <c r="T111" s="76"/>
      <c r="U111" s="77"/>
      <c r="W111" s="58" t="s">
        <v>85</v>
      </c>
      <c r="X111" s="75" t="s">
        <v>84</v>
      </c>
      <c r="Y111" s="68">
        <v>2.4</v>
      </c>
      <c r="Z111" s="43" t="s">
        <v>63</v>
      </c>
      <c r="AA111" s="76"/>
      <c r="AB111" s="76"/>
      <c r="AC111" s="76"/>
      <c r="AD111" s="77"/>
    </row>
    <row r="112" spans="1:30" ht="16.149999999999999" customHeight="1" thickBot="1" x14ac:dyDescent="0.3">
      <c r="A112" s="254"/>
      <c r="B112" s="255"/>
      <c r="C112" s="256"/>
      <c r="D112" s="255"/>
      <c r="E112" s="256"/>
      <c r="F112" s="260"/>
      <c r="G112" s="256"/>
      <c r="H112" s="255"/>
      <c r="I112" s="256"/>
      <c r="J112" s="255"/>
      <c r="K112" s="256"/>
      <c r="L112" s="255"/>
      <c r="M112" s="256"/>
      <c r="N112" s="83">
        <f>P112</f>
        <v>134.99571428571429</v>
      </c>
      <c r="O112" s="78" t="s">
        <v>87</v>
      </c>
      <c r="P112" s="79">
        <f>P106*68+P107*73+P108*24+P109*60+P110*112+P111*45</f>
        <v>134.99571428571429</v>
      </c>
      <c r="Q112" s="80" t="s">
        <v>66</v>
      </c>
      <c r="R112" s="81"/>
      <c r="S112" s="81"/>
      <c r="T112" s="81"/>
      <c r="U112" s="82"/>
      <c r="W112" s="83">
        <f>Y112</f>
        <v>108</v>
      </c>
      <c r="X112" s="78" t="s">
        <v>87</v>
      </c>
      <c r="Y112" s="79">
        <f>Y106*68+Y107*73+Y108*24+Y109*60+Y110*112+Y111*45</f>
        <v>108</v>
      </c>
      <c r="Z112" s="80" t="s">
        <v>66</v>
      </c>
      <c r="AA112" s="81"/>
      <c r="AB112" s="81"/>
      <c r="AC112" s="81"/>
      <c r="AD112" s="82"/>
    </row>
    <row r="113" spans="1:30" ht="16.149999999999999" customHeight="1" thickBot="1" x14ac:dyDescent="0.3">
      <c r="A113" s="237">
        <f>A105+1</f>
        <v>44029</v>
      </c>
      <c r="B113" s="242"/>
      <c r="C113" s="243"/>
      <c r="D113" s="242"/>
      <c r="E113" s="243"/>
      <c r="F113" s="242"/>
      <c r="G113" s="243"/>
      <c r="H113" s="239"/>
      <c r="I113" s="244"/>
      <c r="J113" s="239"/>
      <c r="K113" s="240"/>
      <c r="L113" s="239"/>
      <c r="M113" s="240"/>
      <c r="N113" s="24" t="s">
        <v>60</v>
      </c>
      <c r="O113" s="248" t="s">
        <v>68</v>
      </c>
      <c r="P113" s="249"/>
      <c r="Q113" s="250"/>
      <c r="R113" s="251" t="s">
        <v>69</v>
      </c>
      <c r="S113" s="252"/>
      <c r="T113" s="252"/>
      <c r="U113" s="253"/>
      <c r="W113" s="24" t="s">
        <v>60</v>
      </c>
      <c r="X113" s="248" t="s">
        <v>68</v>
      </c>
      <c r="Y113" s="249"/>
      <c r="Z113" s="250"/>
      <c r="AA113" s="251" t="s">
        <v>69</v>
      </c>
      <c r="AB113" s="252"/>
      <c r="AC113" s="252"/>
      <c r="AD113" s="253"/>
    </row>
    <row r="114" spans="1:30" ht="16.149999999999999" customHeight="1" x14ac:dyDescent="0.25">
      <c r="A114" s="238"/>
      <c r="B114" s="53"/>
      <c r="C114" s="57"/>
      <c r="D114" s="106"/>
      <c r="E114" s="107"/>
      <c r="F114" s="36"/>
      <c r="G114" s="34"/>
      <c r="H114" s="31"/>
      <c r="I114" s="115"/>
      <c r="J114" s="38"/>
      <c r="K114" s="39"/>
      <c r="L114" s="169"/>
      <c r="M114" s="39"/>
      <c r="N114" s="40" t="e">
        <f>S115</f>
        <v>#REF!</v>
      </c>
      <c r="O114" s="25" t="s">
        <v>61</v>
      </c>
      <c r="P114" s="68">
        <f>E114/65+E116/45+E117/90+M114/20</f>
        <v>0</v>
      </c>
      <c r="Q114" s="27" t="s">
        <v>63</v>
      </c>
      <c r="R114" s="89" t="s">
        <v>64</v>
      </c>
      <c r="S114" s="90" t="e">
        <f>P120</f>
        <v>#REF!</v>
      </c>
      <c r="T114" s="91" t="s">
        <v>66</v>
      </c>
      <c r="U114" s="92" t="s">
        <v>67</v>
      </c>
      <c r="W114" s="40">
        <f>AB115</f>
        <v>0</v>
      </c>
      <c r="X114" s="25" t="s">
        <v>61</v>
      </c>
      <c r="Y114" s="26">
        <f>M114/20+M115/20+G114/16</f>
        <v>0</v>
      </c>
      <c r="Z114" s="27" t="s">
        <v>63</v>
      </c>
      <c r="AA114" s="89" t="s">
        <v>64</v>
      </c>
      <c r="AB114" s="90">
        <f>Y120</f>
        <v>108</v>
      </c>
      <c r="AC114" s="91" t="s">
        <v>66</v>
      </c>
      <c r="AD114" s="92" t="s">
        <v>67</v>
      </c>
    </row>
    <row r="115" spans="1:30" ht="16.149999999999999" customHeight="1" x14ac:dyDescent="0.25">
      <c r="A115" s="238"/>
      <c r="B115" s="138"/>
      <c r="C115" s="65"/>
      <c r="D115" s="109"/>
      <c r="E115" s="110"/>
      <c r="F115" s="53"/>
      <c r="G115" s="55"/>
      <c r="H115" s="56"/>
      <c r="I115" s="57"/>
      <c r="J115" s="53"/>
      <c r="K115" s="55"/>
      <c r="L115" s="66"/>
      <c r="M115" s="57"/>
      <c r="N115" s="58" t="s">
        <v>74</v>
      </c>
      <c r="O115" s="41" t="s">
        <v>70</v>
      </c>
      <c r="P115" s="42" t="e">
        <f>C114/35+E118/35+#REF!/35+#REF!*0.65/35</f>
        <v>#REF!</v>
      </c>
      <c r="Q115" s="43" t="s">
        <v>63</v>
      </c>
      <c r="R115" s="44" t="s">
        <v>71</v>
      </c>
      <c r="S115" s="45" t="e">
        <f>P114*15+P116*5+P117*15+P118*12</f>
        <v>#REF!</v>
      </c>
      <c r="T115" s="43" t="s">
        <v>73</v>
      </c>
      <c r="U115" s="46" t="e">
        <f>S115*4/S114</f>
        <v>#REF!</v>
      </c>
      <c r="W115" s="58" t="s">
        <v>74</v>
      </c>
      <c r="X115" s="41" t="s">
        <v>70</v>
      </c>
      <c r="Y115" s="42">
        <f>C114*0.6/40+E116/50+G118/35+K114/110</f>
        <v>0</v>
      </c>
      <c r="Z115" s="43" t="s">
        <v>63</v>
      </c>
      <c r="AA115" s="44" t="s">
        <v>71</v>
      </c>
      <c r="AB115" s="45">
        <f>Y114*15+Y116*5+Y117*15+Y118*12</f>
        <v>0</v>
      </c>
      <c r="AC115" s="43" t="s">
        <v>73</v>
      </c>
      <c r="AD115" s="46">
        <f>AB115*4/AB114</f>
        <v>0</v>
      </c>
    </row>
    <row r="116" spans="1:30" ht="16.149999999999999" customHeight="1" x14ac:dyDescent="0.25">
      <c r="A116" s="238"/>
      <c r="B116" s="56"/>
      <c r="C116" s="57"/>
      <c r="D116" s="109"/>
      <c r="E116" s="110"/>
      <c r="F116" s="53"/>
      <c r="G116" s="55"/>
      <c r="H116" s="56"/>
      <c r="I116" s="57"/>
      <c r="J116" s="103"/>
      <c r="K116" s="70"/>
      <c r="L116" s="53"/>
      <c r="M116" s="127"/>
      <c r="N116" s="40" t="e">
        <f>S116</f>
        <v>#REF!</v>
      </c>
      <c r="O116" s="59" t="s">
        <v>76</v>
      </c>
      <c r="P116" s="42" t="e">
        <f>(E115+E119+G114+G115+G116+I114+#REF!)/100</f>
        <v>#REF!</v>
      </c>
      <c r="Q116" s="43" t="s">
        <v>63</v>
      </c>
      <c r="R116" s="44" t="s">
        <v>78</v>
      </c>
      <c r="S116" s="45" t="e">
        <f>P115*5+P118*4+P119*5</f>
        <v>#REF!</v>
      </c>
      <c r="T116" s="43" t="s">
        <v>73</v>
      </c>
      <c r="U116" s="46" t="e">
        <f>S116*9/S114</f>
        <v>#REF!</v>
      </c>
      <c r="W116" s="40">
        <f>AB116</f>
        <v>12</v>
      </c>
      <c r="X116" s="59" t="s">
        <v>76</v>
      </c>
      <c r="Y116" s="42">
        <f>(C116+C117+E114+E115+E117+E118+G115+G116+G117+I114+K115+K116+K117)/100</f>
        <v>0</v>
      </c>
      <c r="Z116" s="43" t="s">
        <v>63</v>
      </c>
      <c r="AA116" s="44" t="s">
        <v>78</v>
      </c>
      <c r="AB116" s="45">
        <f>Y115*5+Y118*4+Y119*5</f>
        <v>12</v>
      </c>
      <c r="AC116" s="43" t="s">
        <v>73</v>
      </c>
      <c r="AD116" s="46">
        <f>AB116*9/AB114</f>
        <v>1</v>
      </c>
    </row>
    <row r="117" spans="1:30" ht="16.149999999999999" customHeight="1" x14ac:dyDescent="0.25">
      <c r="A117" s="238"/>
      <c r="B117" s="53"/>
      <c r="C117" s="55"/>
      <c r="D117" s="56"/>
      <c r="E117" s="57"/>
      <c r="F117" s="137"/>
      <c r="G117" s="55"/>
      <c r="H117" s="66"/>
      <c r="I117" s="57"/>
      <c r="J117" s="152"/>
      <c r="K117" s="62"/>
      <c r="L117" s="56"/>
      <c r="M117" s="114"/>
      <c r="N117" s="58" t="s">
        <v>81</v>
      </c>
      <c r="O117" s="67" t="s">
        <v>79</v>
      </c>
      <c r="P117" s="68">
        <v>0</v>
      </c>
      <c r="Q117" s="43" t="s">
        <v>63</v>
      </c>
      <c r="R117" s="44" t="s">
        <v>80</v>
      </c>
      <c r="S117" s="45" t="e">
        <f>P114*2+P115*7+P116*1+P118*8</f>
        <v>#REF!</v>
      </c>
      <c r="T117" s="43" t="s">
        <v>73</v>
      </c>
      <c r="U117" s="46" t="e">
        <f>S117*4/S114</f>
        <v>#REF!</v>
      </c>
      <c r="W117" s="58" t="s">
        <v>81</v>
      </c>
      <c r="X117" s="71" t="s">
        <v>79</v>
      </c>
      <c r="Y117" s="68">
        <v>0</v>
      </c>
      <c r="Z117" s="43" t="s">
        <v>63</v>
      </c>
      <c r="AA117" s="44" t="s">
        <v>80</v>
      </c>
      <c r="AB117" s="45">
        <f>Y114*2+Y115*7+Y116*1+Y118*8</f>
        <v>0</v>
      </c>
      <c r="AC117" s="43" t="s">
        <v>73</v>
      </c>
      <c r="AD117" s="46">
        <f>AB117*4/AB114</f>
        <v>0</v>
      </c>
    </row>
    <row r="118" spans="1:30" ht="16.149999999999999" customHeight="1" x14ac:dyDescent="0.25">
      <c r="A118" s="238" t="s">
        <v>190</v>
      </c>
      <c r="B118" s="170"/>
      <c r="C118" s="34"/>
      <c r="D118" s="66"/>
      <c r="E118" s="57"/>
      <c r="F118" s="63"/>
      <c r="G118" s="171"/>
      <c r="H118" s="66"/>
      <c r="I118" s="57"/>
      <c r="J118" s="63"/>
      <c r="K118" s="57"/>
      <c r="L118" s="56"/>
      <c r="M118" s="114"/>
      <c r="N118" s="40" t="e">
        <f>S117</f>
        <v>#REF!</v>
      </c>
      <c r="O118" s="71" t="s">
        <v>82</v>
      </c>
      <c r="P118" s="68">
        <v>0</v>
      </c>
      <c r="Q118" s="43" t="s">
        <v>63</v>
      </c>
      <c r="R118" s="72"/>
      <c r="S118" s="72"/>
      <c r="T118" s="72"/>
      <c r="U118" s="73" t="e">
        <f>SUM(U115:U117)</f>
        <v>#REF!</v>
      </c>
      <c r="W118" s="40">
        <f>AB117</f>
        <v>0</v>
      </c>
      <c r="X118" s="71" t="s">
        <v>82</v>
      </c>
      <c r="Y118" s="68">
        <v>0</v>
      </c>
      <c r="Z118" s="43" t="s">
        <v>63</v>
      </c>
      <c r="AA118" s="72"/>
      <c r="AB118" s="72"/>
      <c r="AC118" s="72"/>
      <c r="AD118" s="73">
        <f>SUM(AD115:AD117)</f>
        <v>1</v>
      </c>
    </row>
    <row r="119" spans="1:30" ht="16.149999999999999" customHeight="1" x14ac:dyDescent="0.25">
      <c r="A119" s="238"/>
      <c r="B119" s="63"/>
      <c r="C119" s="55"/>
      <c r="D119" s="66"/>
      <c r="E119" s="57"/>
      <c r="F119" s="63"/>
      <c r="G119" s="171"/>
      <c r="H119" s="167"/>
      <c r="I119" s="127"/>
      <c r="J119" s="130"/>
      <c r="K119" s="129"/>
      <c r="L119" s="56"/>
      <c r="M119" s="114"/>
      <c r="N119" s="58" t="s">
        <v>85</v>
      </c>
      <c r="O119" s="75" t="s">
        <v>84</v>
      </c>
      <c r="P119" s="68">
        <v>2.5</v>
      </c>
      <c r="Q119" s="43" t="s">
        <v>63</v>
      </c>
      <c r="R119" s="76"/>
      <c r="S119" s="76"/>
      <c r="T119" s="76"/>
      <c r="U119" s="77"/>
      <c r="W119" s="58" t="s">
        <v>85</v>
      </c>
      <c r="X119" s="75" t="s">
        <v>84</v>
      </c>
      <c r="Y119" s="68">
        <v>2.4</v>
      </c>
      <c r="Z119" s="43" t="s">
        <v>63</v>
      </c>
      <c r="AA119" s="76"/>
      <c r="AB119" s="76"/>
      <c r="AC119" s="76"/>
      <c r="AD119" s="77"/>
    </row>
    <row r="120" spans="1:30" ht="16.149999999999999" customHeight="1" thickBot="1" x14ac:dyDescent="0.3">
      <c r="A120" s="254"/>
      <c r="B120" s="260"/>
      <c r="C120" s="256"/>
      <c r="D120" s="260"/>
      <c r="E120" s="256"/>
      <c r="F120" s="260"/>
      <c r="G120" s="256"/>
      <c r="H120" s="255"/>
      <c r="I120" s="256"/>
      <c r="J120" s="255"/>
      <c r="K120" s="256"/>
      <c r="L120" s="255"/>
      <c r="M120" s="256"/>
      <c r="N120" s="83" t="e">
        <f>P120</f>
        <v>#REF!</v>
      </c>
      <c r="O120" s="78" t="s">
        <v>87</v>
      </c>
      <c r="P120" s="79" t="e">
        <f>P114*68+P115*73+P116*24+P117*60+P118*112+P119*45</f>
        <v>#REF!</v>
      </c>
      <c r="Q120" s="80" t="s">
        <v>66</v>
      </c>
      <c r="R120" s="81"/>
      <c r="S120" s="81"/>
      <c r="T120" s="81"/>
      <c r="U120" s="82"/>
      <c r="W120" s="83">
        <f>Y120</f>
        <v>108</v>
      </c>
      <c r="X120" s="78" t="s">
        <v>86</v>
      </c>
      <c r="Y120" s="79">
        <f>Y114*68+Y115*73+Y116*24+Y117*60+Y118*112+Y119*45</f>
        <v>108</v>
      </c>
      <c r="Z120" s="80" t="s">
        <v>65</v>
      </c>
      <c r="AA120" s="81"/>
      <c r="AB120" s="81"/>
      <c r="AC120" s="81"/>
      <c r="AD120" s="82"/>
    </row>
    <row r="121" spans="1:30" x14ac:dyDescent="0.25">
      <c r="A121" s="263" t="s">
        <v>130</v>
      </c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</row>
    <row r="122" spans="1:30" ht="16.149999999999999" customHeight="1" x14ac:dyDescent="0.25">
      <c r="A122" s="265" t="s">
        <v>132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</row>
    <row r="123" spans="1:30" x14ac:dyDescent="0.25">
      <c r="A123" s="266" t="s">
        <v>134</v>
      </c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</row>
    <row r="124" spans="1:30" ht="16.149999999999999" customHeight="1" x14ac:dyDescent="0.25">
      <c r="A124" s="267" t="s">
        <v>136</v>
      </c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</row>
    <row r="125" spans="1:30" x14ac:dyDescent="0.25">
      <c r="A125" s="268" t="s">
        <v>138</v>
      </c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</row>
  </sheetData>
  <mergeCells count="252">
    <mergeCell ref="A121:M121"/>
    <mergeCell ref="A122:N122"/>
    <mergeCell ref="A123:N123"/>
    <mergeCell ref="A124:N124"/>
    <mergeCell ref="A125:N125"/>
    <mergeCell ref="O113:Q113"/>
    <mergeCell ref="R113:U113"/>
    <mergeCell ref="X113:Z113"/>
    <mergeCell ref="A110:A112"/>
    <mergeCell ref="B112:C112"/>
    <mergeCell ref="D112:E112"/>
    <mergeCell ref="F112:G112"/>
    <mergeCell ref="H112:I112"/>
    <mergeCell ref="J112:K112"/>
    <mergeCell ref="AA113:AD113"/>
    <mergeCell ref="A118:A120"/>
    <mergeCell ref="B120:C120"/>
    <mergeCell ref="D120:E120"/>
    <mergeCell ref="F120:G120"/>
    <mergeCell ref="H120:I120"/>
    <mergeCell ref="J120:K120"/>
    <mergeCell ref="L112:M112"/>
    <mergeCell ref="A113:A117"/>
    <mergeCell ref="B113:C113"/>
    <mergeCell ref="D113:E113"/>
    <mergeCell ref="F113:G113"/>
    <mergeCell ref="H113:I113"/>
    <mergeCell ref="J113:K113"/>
    <mergeCell ref="L113:M113"/>
    <mergeCell ref="L120:M120"/>
    <mergeCell ref="AA97:AD97"/>
    <mergeCell ref="A102:A104"/>
    <mergeCell ref="B104:C104"/>
    <mergeCell ref="D104:E104"/>
    <mergeCell ref="F104:G104"/>
    <mergeCell ref="H104:I104"/>
    <mergeCell ref="J104:K104"/>
    <mergeCell ref="L104:M104"/>
    <mergeCell ref="A105:A109"/>
    <mergeCell ref="B105:C105"/>
    <mergeCell ref="D105:E105"/>
    <mergeCell ref="F105:G105"/>
    <mergeCell ref="H105:I105"/>
    <mergeCell ref="J105:K105"/>
    <mergeCell ref="L105:M105"/>
    <mergeCell ref="O97:Q97"/>
    <mergeCell ref="O105:Q105"/>
    <mergeCell ref="R105:U105"/>
    <mergeCell ref="X105:Z105"/>
    <mergeCell ref="AA105:AD105"/>
    <mergeCell ref="A97:A101"/>
    <mergeCell ref="B97:C97"/>
    <mergeCell ref="D97:E97"/>
    <mergeCell ref="F97:G97"/>
    <mergeCell ref="H97:I97"/>
    <mergeCell ref="J97:K97"/>
    <mergeCell ref="L97:M97"/>
    <mergeCell ref="R97:U97"/>
    <mergeCell ref="X97:Z97"/>
    <mergeCell ref="R89:U89"/>
    <mergeCell ref="X89:Z89"/>
    <mergeCell ref="AA89:AD89"/>
    <mergeCell ref="A94:A96"/>
    <mergeCell ref="B96:C96"/>
    <mergeCell ref="D96:E96"/>
    <mergeCell ref="F96:G96"/>
    <mergeCell ref="H96:I96"/>
    <mergeCell ref="A89:A93"/>
    <mergeCell ref="B89:C89"/>
    <mergeCell ref="D89:E89"/>
    <mergeCell ref="F89:G89"/>
    <mergeCell ref="H89:I89"/>
    <mergeCell ref="J89:K89"/>
    <mergeCell ref="J96:K96"/>
    <mergeCell ref="L96:M96"/>
    <mergeCell ref="A86:A88"/>
    <mergeCell ref="B88:C88"/>
    <mergeCell ref="D88:E88"/>
    <mergeCell ref="F88:G88"/>
    <mergeCell ref="H88:I88"/>
    <mergeCell ref="J88:K88"/>
    <mergeCell ref="L88:M88"/>
    <mergeCell ref="L89:M89"/>
    <mergeCell ref="O89:Q89"/>
    <mergeCell ref="O80:U80"/>
    <mergeCell ref="X80:AD80"/>
    <mergeCell ref="A81:A85"/>
    <mergeCell ref="B81:C81"/>
    <mergeCell ref="D81:E81"/>
    <mergeCell ref="F81:G81"/>
    <mergeCell ref="H81:I81"/>
    <mergeCell ref="J81:K81"/>
    <mergeCell ref="L81:M81"/>
    <mergeCell ref="X81:Z81"/>
    <mergeCell ref="AA81:AD81"/>
    <mergeCell ref="A74:M74"/>
    <mergeCell ref="A75:N75"/>
    <mergeCell ref="A76:N76"/>
    <mergeCell ref="A77:N77"/>
    <mergeCell ref="A78:N78"/>
    <mergeCell ref="O66:Q66"/>
    <mergeCell ref="R66:U66"/>
    <mergeCell ref="X66:Z66"/>
    <mergeCell ref="A79:M79"/>
    <mergeCell ref="A71:A73"/>
    <mergeCell ref="B73:C73"/>
    <mergeCell ref="D73:E73"/>
    <mergeCell ref="F73:G73"/>
    <mergeCell ref="H73:I73"/>
    <mergeCell ref="J73:K73"/>
    <mergeCell ref="L65:M65"/>
    <mergeCell ref="A66:A70"/>
    <mergeCell ref="B66:C66"/>
    <mergeCell ref="D66:E66"/>
    <mergeCell ref="F66:G66"/>
    <mergeCell ref="H66:I66"/>
    <mergeCell ref="J66:K66"/>
    <mergeCell ref="L66:M66"/>
    <mergeCell ref="L73:M73"/>
    <mergeCell ref="X58:Z58"/>
    <mergeCell ref="AA58:AD58"/>
    <mergeCell ref="A63:A65"/>
    <mergeCell ref="B65:C65"/>
    <mergeCell ref="D65:E65"/>
    <mergeCell ref="F65:G65"/>
    <mergeCell ref="H65:I65"/>
    <mergeCell ref="J65:K65"/>
    <mergeCell ref="AA66:AD66"/>
    <mergeCell ref="A58:A62"/>
    <mergeCell ref="B58:C58"/>
    <mergeCell ref="D58:E58"/>
    <mergeCell ref="F58:G58"/>
    <mergeCell ref="H58:I58"/>
    <mergeCell ref="J58:K58"/>
    <mergeCell ref="L58:M58"/>
    <mergeCell ref="O58:Q58"/>
    <mergeCell ref="R58:U58"/>
    <mergeCell ref="R50:U50"/>
    <mergeCell ref="X50:Z50"/>
    <mergeCell ref="AA50:AD50"/>
    <mergeCell ref="A55:A57"/>
    <mergeCell ref="B57:C57"/>
    <mergeCell ref="D57:E57"/>
    <mergeCell ref="F57:G57"/>
    <mergeCell ref="H57:I57"/>
    <mergeCell ref="A50:A54"/>
    <mergeCell ref="B50:C50"/>
    <mergeCell ref="D50:E50"/>
    <mergeCell ref="F50:G50"/>
    <mergeCell ref="H50:I50"/>
    <mergeCell ref="J50:K50"/>
    <mergeCell ref="J57:K57"/>
    <mergeCell ref="L57:M57"/>
    <mergeCell ref="A47:A49"/>
    <mergeCell ref="B49:C49"/>
    <mergeCell ref="D49:E49"/>
    <mergeCell ref="F49:G49"/>
    <mergeCell ref="H49:I49"/>
    <mergeCell ref="J49:K49"/>
    <mergeCell ref="L49:M49"/>
    <mergeCell ref="L50:M50"/>
    <mergeCell ref="O50:Q50"/>
    <mergeCell ref="O41:U41"/>
    <mergeCell ref="X41:AD41"/>
    <mergeCell ref="A42:A46"/>
    <mergeCell ref="B42:C42"/>
    <mergeCell ref="D42:E42"/>
    <mergeCell ref="F42:G42"/>
    <mergeCell ref="H42:I42"/>
    <mergeCell ref="J42:K42"/>
    <mergeCell ref="L42:M42"/>
    <mergeCell ref="X42:Z42"/>
    <mergeCell ref="AA42:AD42"/>
    <mergeCell ref="A35:M35"/>
    <mergeCell ref="A36:N36"/>
    <mergeCell ref="A37:N37"/>
    <mergeCell ref="A38:N38"/>
    <mergeCell ref="A39:N39"/>
    <mergeCell ref="O27:Q27"/>
    <mergeCell ref="R27:U27"/>
    <mergeCell ref="X27:Z27"/>
    <mergeCell ref="A40:M40"/>
    <mergeCell ref="A32:A34"/>
    <mergeCell ref="B34:C34"/>
    <mergeCell ref="D34:E34"/>
    <mergeCell ref="F34:G34"/>
    <mergeCell ref="H34:I34"/>
    <mergeCell ref="J34:K34"/>
    <mergeCell ref="L26:M26"/>
    <mergeCell ref="A27:A31"/>
    <mergeCell ref="B27:C27"/>
    <mergeCell ref="D27:E27"/>
    <mergeCell ref="F27:G27"/>
    <mergeCell ref="H27:I27"/>
    <mergeCell ref="J27:K27"/>
    <mergeCell ref="L27:M27"/>
    <mergeCell ref="L34:M34"/>
    <mergeCell ref="X19:Z19"/>
    <mergeCell ref="AA19:AD19"/>
    <mergeCell ref="A24:A26"/>
    <mergeCell ref="B26:C26"/>
    <mergeCell ref="D26:E26"/>
    <mergeCell ref="F26:G26"/>
    <mergeCell ref="H26:I26"/>
    <mergeCell ref="J26:K26"/>
    <mergeCell ref="AA27:AD27"/>
    <mergeCell ref="A19:A23"/>
    <mergeCell ref="B19:C19"/>
    <mergeCell ref="D19:E19"/>
    <mergeCell ref="F19:G19"/>
    <mergeCell ref="H19:I19"/>
    <mergeCell ref="J19:K19"/>
    <mergeCell ref="L19:M19"/>
    <mergeCell ref="O19:Q19"/>
    <mergeCell ref="R19:U19"/>
    <mergeCell ref="R11:U11"/>
    <mergeCell ref="X11:Z11"/>
    <mergeCell ref="AA11:AD11"/>
    <mergeCell ref="A16:A18"/>
    <mergeCell ref="B18:C18"/>
    <mergeCell ref="D18:E18"/>
    <mergeCell ref="F18:G18"/>
    <mergeCell ref="H18:I18"/>
    <mergeCell ref="A11:A15"/>
    <mergeCell ref="B11:C11"/>
    <mergeCell ref="D11:E11"/>
    <mergeCell ref="F11:G11"/>
    <mergeCell ref="H11:I11"/>
    <mergeCell ref="J11:K11"/>
    <mergeCell ref="J18:K18"/>
    <mergeCell ref="L18:M18"/>
    <mergeCell ref="A8:A10"/>
    <mergeCell ref="B10:C10"/>
    <mergeCell ref="D10:E10"/>
    <mergeCell ref="F10:G10"/>
    <mergeCell ref="H10:I10"/>
    <mergeCell ref="J10:K10"/>
    <mergeCell ref="L10:M10"/>
    <mergeCell ref="L11:M11"/>
    <mergeCell ref="O11:Q11"/>
    <mergeCell ref="A1:M1"/>
    <mergeCell ref="O2:U2"/>
    <mergeCell ref="X2:AD2"/>
    <mergeCell ref="A3:A7"/>
    <mergeCell ref="B3:C3"/>
    <mergeCell ref="D3:E3"/>
    <mergeCell ref="F3:G3"/>
    <mergeCell ref="H3:I3"/>
    <mergeCell ref="J3:K3"/>
    <mergeCell ref="L3:M3"/>
    <mergeCell ref="X3:Z3"/>
    <mergeCell ref="AA3:AD3"/>
  </mergeCells>
  <phoneticPr fontId="2" type="noConversion"/>
  <printOptions horizontalCentered="1"/>
  <pageMargins left="0" right="0" top="0.15748031496062992" bottom="0.15748031496062992" header="0.43307086614173229" footer="0.15748031496062992"/>
  <pageSetup paperSize="9" scale="105" orientation="portrait" r:id="rId1"/>
  <headerFooter alignWithMargins="0"/>
  <rowBreaks count="2" manualBreakCount="2">
    <brk id="39" max="22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7月晚餐</vt:lpstr>
      <vt:lpstr>7月明細(晚餐) </vt:lpstr>
      <vt:lpstr>'7月明細(晚餐) '!Print_Area</vt:lpstr>
      <vt:lpstr>'7月晚餐'!Print_Area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USER</cp:lastModifiedBy>
  <cp:lastPrinted>2020-06-17T00:45:18Z</cp:lastPrinted>
  <dcterms:created xsi:type="dcterms:W3CDTF">2018-10-26T09:27:55Z</dcterms:created>
  <dcterms:modified xsi:type="dcterms:W3CDTF">2020-06-18T01:57:35Z</dcterms:modified>
</cp:coreProperties>
</file>