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團膳菜單\109.8-9月菜單\"/>
    </mc:Choice>
  </mc:AlternateContent>
  <bookViews>
    <workbookView xWindow="0" yWindow="0" windowWidth="21268" windowHeight="8208" activeTab="1"/>
  </bookViews>
  <sheets>
    <sheet name="9月明細(午餐) " sheetId="4" r:id="rId1"/>
    <sheet name="國高中(x蔬+W三特)" sheetId="3" r:id="rId2"/>
  </sheets>
  <definedNames>
    <definedName name="_xlnm.Print_Area" localSheetId="0">'9月明細(午餐) '!$A$1:$W$290</definedName>
    <definedName name="_xlnm.Print_Area" localSheetId="1">'國高中(x蔬+W三特)'!$A$1:$M$56</definedName>
  </definedNames>
  <calcPr calcId="162913"/>
</workbook>
</file>

<file path=xl/calcChain.xml><?xml version="1.0" encoding="utf-8"?>
<calcChain xmlns="http://schemas.openxmlformats.org/spreadsheetml/2006/main">
  <c r="Y247" i="4" l="1"/>
  <c r="Y98" i="4"/>
  <c r="Y145" i="4"/>
  <c r="Y192" i="4"/>
  <c r="Y51" i="4"/>
  <c r="Y38" i="4" l="1"/>
  <c r="Y37" i="4"/>
  <c r="Y36" i="4"/>
  <c r="Y224" i="4" l="1"/>
  <c r="Y177" i="4"/>
  <c r="Y178" i="4"/>
  <c r="Y85" i="4" l="1"/>
  <c r="Y232" i="4"/>
  <c r="Y263" i="4"/>
  <c r="Y265" i="4"/>
  <c r="Y264" i="4"/>
  <c r="Y257" i="4"/>
  <c r="Y256" i="4"/>
  <c r="Y255" i="4"/>
  <c r="Y249" i="4"/>
  <c r="Y248" i="4"/>
  <c r="Y234" i="4"/>
  <c r="Y233" i="4"/>
  <c r="Y226" i="4"/>
  <c r="Y225" i="4"/>
  <c r="Y218" i="4"/>
  <c r="Y217" i="4"/>
  <c r="Y216" i="4"/>
  <c r="Y208" i="4"/>
  <c r="Y210" i="4"/>
  <c r="Y209" i="4"/>
  <c r="Y202" i="4"/>
  <c r="Y201" i="4"/>
  <c r="Y200" i="4"/>
  <c r="Y194" i="4"/>
  <c r="Y193" i="4"/>
  <c r="Y179" i="4"/>
  <c r="Y171" i="4"/>
  <c r="Y170" i="4"/>
  <c r="Y169" i="4"/>
  <c r="Y163" i="4"/>
  <c r="Y162" i="4"/>
  <c r="Y161" i="4"/>
  <c r="Y155" i="4"/>
  <c r="Y154" i="4"/>
  <c r="Y153" i="4"/>
  <c r="Y147" i="4"/>
  <c r="Y146" i="4"/>
  <c r="Y132" i="4"/>
  <c r="Y131" i="4"/>
  <c r="Y130" i="4"/>
  <c r="Y124" i="4"/>
  <c r="Y123" i="4"/>
  <c r="Y122" i="4"/>
  <c r="Y116" i="4"/>
  <c r="Y115" i="4"/>
  <c r="Y114" i="4"/>
  <c r="Y108" i="4"/>
  <c r="Y107" i="4"/>
  <c r="Y106" i="4"/>
  <c r="Y100" i="4"/>
  <c r="Y99" i="4"/>
  <c r="Y84" i="4"/>
  <c r="Y83" i="4"/>
  <c r="Y77" i="4"/>
  <c r="Y76" i="4"/>
  <c r="Y75" i="4"/>
  <c r="Y69" i="4"/>
  <c r="Y68" i="4"/>
  <c r="Y67" i="4"/>
  <c r="Y61" i="4"/>
  <c r="Y60" i="4"/>
  <c r="Y59" i="4"/>
  <c r="Y53" i="4"/>
  <c r="Y52" i="4"/>
  <c r="Y30" i="4"/>
  <c r="Y29" i="4"/>
  <c r="Y28" i="4"/>
  <c r="AB281" i="4" l="1"/>
  <c r="Y281" i="4"/>
  <c r="Y280" i="4"/>
  <c r="Y279" i="4"/>
  <c r="Y273" i="4"/>
  <c r="Y272" i="4"/>
  <c r="Y271" i="4"/>
  <c r="AB264" i="4"/>
  <c r="W263" i="4" s="1"/>
  <c r="AB256" i="4"/>
  <c r="W255" i="4" s="1"/>
  <c r="Y261" i="4"/>
  <c r="Y253" i="4"/>
  <c r="AB234" i="4"/>
  <c r="W234" i="4" s="1"/>
  <c r="AB235" i="4"/>
  <c r="W236" i="4" s="1"/>
  <c r="AB217" i="4"/>
  <c r="W216" i="4" s="1"/>
  <c r="AB218" i="4"/>
  <c r="W218" i="4" s="1"/>
  <c r="AB209" i="4"/>
  <c r="W208" i="4" s="1"/>
  <c r="Y214" i="4"/>
  <c r="W214" i="4" s="1"/>
  <c r="F46" i="3" s="1"/>
  <c r="AB202" i="4"/>
  <c r="W202" i="4" s="1"/>
  <c r="AB203" i="4"/>
  <c r="W204" i="4" s="1"/>
  <c r="AB195" i="4"/>
  <c r="W196" i="4" s="1"/>
  <c r="AB147" i="4"/>
  <c r="W147" i="4" s="1"/>
  <c r="AB154" i="4"/>
  <c r="W153" i="4" s="1"/>
  <c r="AB156" i="4"/>
  <c r="W157" i="4" s="1"/>
  <c r="AB163" i="4"/>
  <c r="W163" i="4" s="1"/>
  <c r="AB171" i="4"/>
  <c r="W171" i="4" s="1"/>
  <c r="AB179" i="4"/>
  <c r="W179" i="4" s="1"/>
  <c r="AB100" i="4"/>
  <c r="W100" i="4" s="1"/>
  <c r="AB108" i="4"/>
  <c r="W108" i="4" s="1"/>
  <c r="AB116" i="4"/>
  <c r="W116" i="4" s="1"/>
  <c r="AB125" i="4"/>
  <c r="W126" i="4" s="1"/>
  <c r="Y125" i="4"/>
  <c r="AB132" i="4"/>
  <c r="W132" i="4" s="1"/>
  <c r="AB60" i="4"/>
  <c r="W59" i="4" s="1"/>
  <c r="AB62" i="4"/>
  <c r="W63" i="4" s="1"/>
  <c r="AB76" i="4"/>
  <c r="W75" i="4" s="1"/>
  <c r="AB78" i="4"/>
  <c r="W79" i="4" s="1"/>
  <c r="AB272" i="4" l="1"/>
  <c r="AD272" i="4" s="1"/>
  <c r="AD275" i="4" s="1"/>
  <c r="AB255" i="4"/>
  <c r="AD256" i="4" s="1"/>
  <c r="W261" i="4"/>
  <c r="D55" i="3" s="1"/>
  <c r="AB282" i="4"/>
  <c r="AB247" i="4"/>
  <c r="W253" i="4"/>
  <c r="B55" i="3" s="1"/>
  <c r="AB208" i="4"/>
  <c r="AD209" i="4" s="1"/>
  <c r="Y277" i="4"/>
  <c r="AB271" i="4" s="1"/>
  <c r="AB227" i="4"/>
  <c r="W228" i="4" s="1"/>
  <c r="AB248" i="4"/>
  <c r="AB274" i="4"/>
  <c r="AB54" i="4"/>
  <c r="W55" i="4" s="1"/>
  <c r="AB123" i="4"/>
  <c r="W122" i="4" s="1"/>
  <c r="AB258" i="4"/>
  <c r="AB107" i="4"/>
  <c r="W106" i="4" s="1"/>
  <c r="AB68" i="4"/>
  <c r="W67" i="4" s="1"/>
  <c r="AB52" i="4"/>
  <c r="W51" i="4" s="1"/>
  <c r="AB146" i="4"/>
  <c r="W145" i="4" s="1"/>
  <c r="AB249" i="4"/>
  <c r="W249" i="4" s="1"/>
  <c r="Y65" i="4"/>
  <c r="Y285" i="4"/>
  <c r="AB279" i="4" s="1"/>
  <c r="AD281" i="4" s="1"/>
  <c r="AB115" i="4"/>
  <c r="W114" i="4" s="1"/>
  <c r="AB162" i="4"/>
  <c r="W161" i="4" s="1"/>
  <c r="AB266" i="4"/>
  <c r="W267" i="4" s="1"/>
  <c r="AB280" i="4"/>
  <c r="AB131" i="4"/>
  <c r="W130" i="4" s="1"/>
  <c r="AB250" i="4"/>
  <c r="Y269" i="4"/>
  <c r="AD274" i="4"/>
  <c r="AB265" i="4"/>
  <c r="W265" i="4" s="1"/>
  <c r="AB257" i="4"/>
  <c r="AB273" i="4"/>
  <c r="AB86" i="4"/>
  <c r="W87" i="4" s="1"/>
  <c r="AB124" i="4"/>
  <c r="W124" i="4" s="1"/>
  <c r="AB178" i="4"/>
  <c r="W177" i="4" s="1"/>
  <c r="AB155" i="4"/>
  <c r="W155" i="4" s="1"/>
  <c r="Y198" i="4"/>
  <c r="W198" i="4" s="1"/>
  <c r="B46" i="3" s="1"/>
  <c r="AB219" i="4"/>
  <c r="W220" i="4" s="1"/>
  <c r="AB233" i="4"/>
  <c r="W232" i="4" s="1"/>
  <c r="AB84" i="4"/>
  <c r="W83" i="4" s="1"/>
  <c r="AB70" i="4"/>
  <c r="W71" i="4" s="1"/>
  <c r="AB109" i="4"/>
  <c r="W110" i="4" s="1"/>
  <c r="AB193" i="4"/>
  <c r="W192" i="4" s="1"/>
  <c r="Y81" i="4"/>
  <c r="AB77" i="4"/>
  <c r="W77" i="4" s="1"/>
  <c r="AB172" i="4"/>
  <c r="W173" i="4" s="1"/>
  <c r="AB61" i="4"/>
  <c r="W61" i="4" s="1"/>
  <c r="AB133" i="4"/>
  <c r="W134" i="4" s="1"/>
  <c r="AB170" i="4"/>
  <c r="W169" i="4" s="1"/>
  <c r="AB201" i="4"/>
  <c r="W200" i="4" s="1"/>
  <c r="Y230" i="4"/>
  <c r="W230" i="4" s="1"/>
  <c r="J46" i="3" s="1"/>
  <c r="AB99" i="4"/>
  <c r="W98" i="4" s="1"/>
  <c r="AB211" i="4"/>
  <c r="AB225" i="4"/>
  <c r="W224" i="4" s="1"/>
  <c r="AB194" i="4"/>
  <c r="W194" i="4" s="1"/>
  <c r="AB210" i="4"/>
  <c r="AB226" i="4"/>
  <c r="W226" i="4" s="1"/>
  <c r="Y206" i="4"/>
  <c r="W206" i="4" s="1"/>
  <c r="D46" i="3" s="1"/>
  <c r="Y222" i="4"/>
  <c r="W222" i="4" s="1"/>
  <c r="H46" i="3" s="1"/>
  <c r="Y238" i="4"/>
  <c r="AB180" i="4"/>
  <c r="W181" i="4" s="1"/>
  <c r="AB164" i="4"/>
  <c r="W165" i="4" s="1"/>
  <c r="AB148" i="4"/>
  <c r="W149" i="4" s="1"/>
  <c r="Y175" i="4"/>
  <c r="Y159" i="4"/>
  <c r="Y183" i="4"/>
  <c r="Y167" i="4"/>
  <c r="Y151" i="4"/>
  <c r="Y128" i="4"/>
  <c r="AB117" i="4"/>
  <c r="W118" i="4" s="1"/>
  <c r="AB101" i="4"/>
  <c r="W102" i="4" s="1"/>
  <c r="Y112" i="4"/>
  <c r="Y136" i="4"/>
  <c r="Y120" i="4"/>
  <c r="Y104" i="4"/>
  <c r="AB85" i="4"/>
  <c r="W85" i="4" s="1"/>
  <c r="AB69" i="4"/>
  <c r="W69" i="4" s="1"/>
  <c r="AB53" i="4"/>
  <c r="W53" i="4" s="1"/>
  <c r="Y89" i="4"/>
  <c r="Y73" i="4"/>
  <c r="Y57" i="4"/>
  <c r="AD211" i="4" l="1"/>
  <c r="AD212" i="4" s="1"/>
  <c r="W212" i="4"/>
  <c r="AB122" i="4"/>
  <c r="AD123" i="4" s="1"/>
  <c r="W128" i="4"/>
  <c r="H28" i="3" s="1"/>
  <c r="AB67" i="4"/>
  <c r="AD70" i="4" s="1"/>
  <c r="W73" i="4"/>
  <c r="F19" i="3" s="1"/>
  <c r="AB114" i="4"/>
  <c r="AD116" i="4" s="1"/>
  <c r="W120" i="4"/>
  <c r="F28" i="3" s="1"/>
  <c r="AD210" i="4"/>
  <c r="W210" i="4"/>
  <c r="AB83" i="4"/>
  <c r="W89" i="4"/>
  <c r="J19" i="3" s="1"/>
  <c r="AB130" i="4"/>
  <c r="AD131" i="4" s="1"/>
  <c r="W136" i="4"/>
  <c r="J28" i="3" s="1"/>
  <c r="AB161" i="4"/>
  <c r="AD163" i="4" s="1"/>
  <c r="W167" i="4"/>
  <c r="F37" i="3" s="1"/>
  <c r="AB75" i="4"/>
  <c r="AD78" i="4" s="1"/>
  <c r="W81" i="4"/>
  <c r="H19" i="3" s="1"/>
  <c r="AD249" i="4"/>
  <c r="AD251" i="4" s="1"/>
  <c r="AB106" i="4"/>
  <c r="AD108" i="4" s="1"/>
  <c r="W112" i="4"/>
  <c r="D28" i="3" s="1"/>
  <c r="AD257" i="4"/>
  <c r="W257" i="4"/>
  <c r="AB263" i="4"/>
  <c r="AD264" i="4" s="1"/>
  <c r="W269" i="4"/>
  <c r="F55" i="3" s="1"/>
  <c r="AB169" i="4"/>
  <c r="AD171" i="4" s="1"/>
  <c r="W175" i="4"/>
  <c r="H37" i="3" s="1"/>
  <c r="AB59" i="4"/>
  <c r="AD62" i="4" s="1"/>
  <c r="W65" i="4"/>
  <c r="D19" i="3" s="1"/>
  <c r="AB153" i="4"/>
  <c r="AD156" i="4" s="1"/>
  <c r="W159" i="4"/>
  <c r="D37" i="3" s="1"/>
  <c r="AD258" i="4"/>
  <c r="W259" i="4"/>
  <c r="AD250" i="4"/>
  <c r="W251" i="4"/>
  <c r="AD248" i="4"/>
  <c r="W247" i="4"/>
  <c r="AB145" i="4"/>
  <c r="AD147" i="4" s="1"/>
  <c r="W151" i="4"/>
  <c r="B37" i="3" s="1"/>
  <c r="AB98" i="4"/>
  <c r="AD100" i="4" s="1"/>
  <c r="W104" i="4"/>
  <c r="B28" i="3" s="1"/>
  <c r="AB51" i="4"/>
  <c r="AD54" i="4" s="1"/>
  <c r="W57" i="4"/>
  <c r="B19" i="3" s="1"/>
  <c r="AB177" i="4"/>
  <c r="AD179" i="4" s="1"/>
  <c r="W183" i="4"/>
  <c r="J37" i="3" s="1"/>
  <c r="AB200" i="4"/>
  <c r="AD203" i="4" s="1"/>
  <c r="AB192" i="4"/>
  <c r="AD195" i="4" s="1"/>
  <c r="AB216" i="4"/>
  <c r="AD218" i="4" s="1"/>
  <c r="AB224" i="4"/>
  <c r="AD225" i="4" s="1"/>
  <c r="AD273" i="4"/>
  <c r="AB232" i="4"/>
  <c r="AD233" i="4" s="1"/>
  <c r="W238" i="4"/>
  <c r="L46" i="3" s="1"/>
  <c r="AD162" i="4"/>
  <c r="AD155" i="4"/>
  <c r="AD84" i="4"/>
  <c r="AD60" i="4"/>
  <c r="AD61" i="4"/>
  <c r="AD77" i="4"/>
  <c r="AD282" i="4"/>
  <c r="AD280" i="4"/>
  <c r="AD283" i="4" s="1"/>
  <c r="AD259" i="4"/>
  <c r="AD101" i="4"/>
  <c r="AD202" i="4"/>
  <c r="AD219" i="4"/>
  <c r="AD217" i="4"/>
  <c r="AD154" i="4"/>
  <c r="AD172" i="4"/>
  <c r="AD148" i="4"/>
  <c r="AD170" i="4"/>
  <c r="AD109" i="4"/>
  <c r="AD132" i="4"/>
  <c r="AD107" i="4"/>
  <c r="AD52" i="4"/>
  <c r="AD69" i="4"/>
  <c r="AD86" i="4"/>
  <c r="AD85" i="4"/>
  <c r="AD226" i="4" l="1"/>
  <c r="AD115" i="4"/>
  <c r="AD235" i="4"/>
  <c r="AD164" i="4"/>
  <c r="AD265" i="4"/>
  <c r="AD68" i="4"/>
  <c r="AD71" i="4" s="1"/>
  <c r="AD124" i="4"/>
  <c r="AD126" i="4" s="1"/>
  <c r="AD234" i="4"/>
  <c r="AD125" i="4"/>
  <c r="AD266" i="4"/>
  <c r="AD76" i="4"/>
  <c r="AD79" i="4" s="1"/>
  <c r="AD133" i="4"/>
  <c r="AD134" i="4" s="1"/>
  <c r="AD117" i="4"/>
  <c r="AD118" i="4" s="1"/>
  <c r="AD99" i="4"/>
  <c r="AD194" i="4"/>
  <c r="AD193" i="4"/>
  <c r="AD146" i="4"/>
  <c r="AD149" i="4" s="1"/>
  <c r="AD53" i="4"/>
  <c r="AD180" i="4"/>
  <c r="AD178" i="4"/>
  <c r="AD227" i="4"/>
  <c r="AD63" i="4"/>
  <c r="AD201" i="4"/>
  <c r="AD204" i="4" s="1"/>
  <c r="AD236" i="4"/>
  <c r="AD102" i="4"/>
  <c r="AD165" i="4"/>
  <c r="AD87" i="4"/>
  <c r="AD110" i="4"/>
  <c r="AD220" i="4"/>
  <c r="AD173" i="4"/>
  <c r="AD157" i="4"/>
  <c r="AD55" i="4"/>
  <c r="AD267" i="4" l="1"/>
  <c r="AD228" i="4"/>
  <c r="AD181" i="4"/>
  <c r="AD196" i="4"/>
  <c r="P38" i="4"/>
  <c r="P37" i="4"/>
  <c r="S38" i="4" s="1"/>
  <c r="P36" i="4"/>
  <c r="P30" i="4"/>
  <c r="P29" i="4"/>
  <c r="P28" i="4"/>
  <c r="W26" i="4"/>
  <c r="W24" i="4"/>
  <c r="W22" i="4"/>
  <c r="P22" i="4"/>
  <c r="P21" i="4"/>
  <c r="W20" i="4"/>
  <c r="P20" i="4"/>
  <c r="W18" i="4"/>
  <c r="W16" i="4"/>
  <c r="W14" i="4"/>
  <c r="P14" i="4"/>
  <c r="P13" i="4"/>
  <c r="S14" i="4" s="1"/>
  <c r="W12" i="4"/>
  <c r="P12" i="4"/>
  <c r="A11" i="4"/>
  <c r="A19" i="4" s="1"/>
  <c r="A27" i="4" s="1"/>
  <c r="A35" i="4" s="1"/>
  <c r="W10" i="4"/>
  <c r="P9" i="4"/>
  <c r="S3" i="4" s="1"/>
  <c r="W8" i="4"/>
  <c r="W6" i="4"/>
  <c r="S6" i="4"/>
  <c r="N8" i="4" s="1"/>
  <c r="S5" i="4"/>
  <c r="N6" i="4" s="1"/>
  <c r="W4" i="4"/>
  <c r="S4" i="4"/>
  <c r="P281" i="4"/>
  <c r="P280" i="4"/>
  <c r="S281" i="4" s="1"/>
  <c r="P279" i="4"/>
  <c r="P273" i="4"/>
  <c r="W273" i="4"/>
  <c r="P272" i="4"/>
  <c r="S273" i="4" s="1"/>
  <c r="P271" i="4"/>
  <c r="P265" i="4"/>
  <c r="P264" i="4"/>
  <c r="S265" i="4" s="1"/>
  <c r="P263" i="4"/>
  <c r="P257" i="4"/>
  <c r="P256" i="4"/>
  <c r="S257" i="4" s="1"/>
  <c r="P255" i="4"/>
  <c r="P248" i="4"/>
  <c r="P247" i="4"/>
  <c r="S248" i="4" s="1"/>
  <c r="P246" i="4"/>
  <c r="P234" i="4"/>
  <c r="P233" i="4"/>
  <c r="S234" i="4" s="1"/>
  <c r="P232" i="4"/>
  <c r="P226" i="4"/>
  <c r="P225" i="4"/>
  <c r="S226" i="4" s="1"/>
  <c r="P224" i="4"/>
  <c r="P218" i="4"/>
  <c r="P217" i="4"/>
  <c r="S218" i="4" s="1"/>
  <c r="P216" i="4"/>
  <c r="P210" i="4"/>
  <c r="P209" i="4"/>
  <c r="S210" i="4" s="1"/>
  <c r="P208" i="4"/>
  <c r="P202" i="4"/>
  <c r="P201" i="4"/>
  <c r="S202" i="4" s="1"/>
  <c r="P200" i="4"/>
  <c r="P193" i="4"/>
  <c r="P192" i="4"/>
  <c r="S193" i="4" s="1"/>
  <c r="P191" i="4"/>
  <c r="P179" i="4"/>
  <c r="P178" i="4"/>
  <c r="S179" i="4" s="1"/>
  <c r="P177" i="4"/>
  <c r="P171" i="4"/>
  <c r="P170" i="4"/>
  <c r="S171" i="4" s="1"/>
  <c r="P169" i="4"/>
  <c r="P163" i="4"/>
  <c r="P162" i="4"/>
  <c r="S163" i="4" s="1"/>
  <c r="P161" i="4"/>
  <c r="P155" i="4"/>
  <c r="P154" i="4"/>
  <c r="S155" i="4" s="1"/>
  <c r="P153" i="4"/>
  <c r="P146" i="4"/>
  <c r="P145" i="4"/>
  <c r="S146" i="4" s="1"/>
  <c r="N147" i="4" s="1"/>
  <c r="P144" i="4"/>
  <c r="P132" i="4"/>
  <c r="P131" i="4"/>
  <c r="S132" i="4" s="1"/>
  <c r="P130" i="4"/>
  <c r="P124" i="4"/>
  <c r="P123" i="4"/>
  <c r="S124" i="4" s="1"/>
  <c r="P122" i="4"/>
  <c r="P116" i="4"/>
  <c r="P115" i="4"/>
  <c r="S116" i="4" s="1"/>
  <c r="P114" i="4"/>
  <c r="P108" i="4"/>
  <c r="P107" i="4"/>
  <c r="S108" i="4" s="1"/>
  <c r="P106" i="4"/>
  <c r="P99" i="4"/>
  <c r="P98" i="4"/>
  <c r="S99" i="4" s="1"/>
  <c r="P97" i="4"/>
  <c r="P85" i="4"/>
  <c r="AB38" i="4"/>
  <c r="W38" i="4" s="1"/>
  <c r="P84" i="4"/>
  <c r="S85" i="4" s="1"/>
  <c r="P83" i="4"/>
  <c r="P77" i="4"/>
  <c r="AB30" i="4"/>
  <c r="W30" i="4" s="1"/>
  <c r="P76" i="4"/>
  <c r="S77" i="4" s="1"/>
  <c r="P75" i="4"/>
  <c r="P69" i="4"/>
  <c r="P68" i="4"/>
  <c r="S69" i="4" s="1"/>
  <c r="P67" i="4"/>
  <c r="P61" i="4"/>
  <c r="AB14" i="4"/>
  <c r="P60" i="4"/>
  <c r="S61" i="4" s="1"/>
  <c r="P59" i="4"/>
  <c r="A58" i="4"/>
  <c r="A66" i="4" s="1"/>
  <c r="A74" i="4" s="1"/>
  <c r="A82" i="4" s="1"/>
  <c r="A97" i="4" s="1"/>
  <c r="A105" i="4" s="1"/>
  <c r="A113" i="4" s="1"/>
  <c r="A121" i="4" s="1"/>
  <c r="A129" i="4" s="1"/>
  <c r="A144" i="4" s="1"/>
  <c r="A152" i="4" s="1"/>
  <c r="A160" i="4" s="1"/>
  <c r="A168" i="4" s="1"/>
  <c r="A176" i="4" s="1"/>
  <c r="A191" i="4" s="1"/>
  <c r="A199" i="4" s="1"/>
  <c r="A207" i="4" s="1"/>
  <c r="A215" i="4" s="1"/>
  <c r="A223" i="4" s="1"/>
  <c r="P56" i="4"/>
  <c r="N57" i="4" s="1"/>
  <c r="S53" i="4"/>
  <c r="N55" i="4" s="1"/>
  <c r="AB6" i="4"/>
  <c r="S52" i="4"/>
  <c r="S51" i="4"/>
  <c r="N51" i="4" s="1"/>
  <c r="S31" i="4" l="1"/>
  <c r="N32" i="4" s="1"/>
  <c r="S107" i="4"/>
  <c r="N106" i="4" s="1"/>
  <c r="S23" i="4"/>
  <c r="N24" i="4" s="1"/>
  <c r="S170" i="4"/>
  <c r="S162" i="4"/>
  <c r="N161" i="4" s="1"/>
  <c r="S115" i="4"/>
  <c r="N114" i="4" s="1"/>
  <c r="S68" i="4"/>
  <c r="N67" i="4" s="1"/>
  <c r="P42" i="4"/>
  <c r="N42" i="4" s="1"/>
  <c r="U5" i="4"/>
  <c r="P34" i="4"/>
  <c r="S256" i="4"/>
  <c r="N255" i="4" s="1"/>
  <c r="U4" i="4"/>
  <c r="U7" i="4" s="1"/>
  <c r="S29" i="4"/>
  <c r="N28" i="4" s="1"/>
  <c r="P26" i="4"/>
  <c r="S20" i="4" s="1"/>
  <c r="U23" i="4" s="1"/>
  <c r="P18" i="4"/>
  <c r="S12" i="4" s="1"/>
  <c r="U14" i="4" s="1"/>
  <c r="N14" i="4"/>
  <c r="S21" i="4"/>
  <c r="S30" i="4"/>
  <c r="S39" i="4"/>
  <c r="S15" i="4"/>
  <c r="S37" i="4"/>
  <c r="N10" i="4"/>
  <c r="S22" i="4"/>
  <c r="N38" i="4"/>
  <c r="S50" i="4"/>
  <c r="U53" i="4" s="1"/>
  <c r="S13" i="4"/>
  <c r="N4" i="4"/>
  <c r="U6" i="4"/>
  <c r="S225" i="4"/>
  <c r="N224" i="4" s="1"/>
  <c r="S209" i="4"/>
  <c r="N208" i="4" s="1"/>
  <c r="AB7" i="4"/>
  <c r="AB23" i="4"/>
  <c r="S264" i="4"/>
  <c r="N263" i="4" s="1"/>
  <c r="AB21" i="4"/>
  <c r="AB31" i="4"/>
  <c r="W32" i="4" s="1"/>
  <c r="S233" i="4"/>
  <c r="N232" i="4" s="1"/>
  <c r="P277" i="4"/>
  <c r="N277" i="4" s="1"/>
  <c r="AB37" i="4"/>
  <c r="W36" i="4" s="1"/>
  <c r="S201" i="4"/>
  <c r="N200" i="4" s="1"/>
  <c r="P159" i="4"/>
  <c r="S153" i="4" s="1"/>
  <c r="U155" i="4" s="1"/>
  <c r="W277" i="4"/>
  <c r="S131" i="4"/>
  <c r="N130" i="4" s="1"/>
  <c r="P89" i="4"/>
  <c r="N89" i="4" s="1"/>
  <c r="S123" i="4"/>
  <c r="N122" i="4" s="1"/>
  <c r="P81" i="4"/>
  <c r="S75" i="4" s="1"/>
  <c r="U77" i="4" s="1"/>
  <c r="P167" i="4"/>
  <c r="S161" i="4" s="1"/>
  <c r="S172" i="4"/>
  <c r="N173" i="4" s="1"/>
  <c r="S194" i="4"/>
  <c r="N196" i="4" s="1"/>
  <c r="S249" i="4"/>
  <c r="N251" i="4" s="1"/>
  <c r="P269" i="4"/>
  <c r="N269" i="4" s="1"/>
  <c r="S178" i="4"/>
  <c r="N177" i="4" s="1"/>
  <c r="S227" i="4"/>
  <c r="N228" i="4" s="1"/>
  <c r="W275" i="4"/>
  <c r="Y26" i="4"/>
  <c r="AB20" i="4" s="1"/>
  <c r="P230" i="4"/>
  <c r="N230" i="4" s="1"/>
  <c r="P150" i="4"/>
  <c r="N151" i="4" s="1"/>
  <c r="P103" i="4"/>
  <c r="N104" i="4" s="1"/>
  <c r="P222" i="4"/>
  <c r="N222" i="4" s="1"/>
  <c r="S235" i="4"/>
  <c r="N236" i="4" s="1"/>
  <c r="S272" i="4"/>
  <c r="N271" i="4" s="1"/>
  <c r="S280" i="4"/>
  <c r="N279" i="4" s="1"/>
  <c r="Y18" i="4"/>
  <c r="AB12" i="4" s="1"/>
  <c r="AD14" i="4" s="1"/>
  <c r="P206" i="4"/>
  <c r="S200" i="4" s="1"/>
  <c r="U202" i="4" s="1"/>
  <c r="S164" i="4"/>
  <c r="N165" i="4" s="1"/>
  <c r="S266" i="4"/>
  <c r="N267" i="4" s="1"/>
  <c r="W285" i="4"/>
  <c r="N234" i="4"/>
  <c r="AB5" i="4"/>
  <c r="Y10" i="4"/>
  <c r="N85" i="4"/>
  <c r="N124" i="4"/>
  <c r="A246" i="4"/>
  <c r="A254" i="4" s="1"/>
  <c r="A262" i="4" s="1"/>
  <c r="A270" i="4" s="1"/>
  <c r="A278" i="4" s="1"/>
  <c r="A231" i="4"/>
  <c r="N194" i="4"/>
  <c r="N202" i="4"/>
  <c r="W279" i="4"/>
  <c r="N53" i="4"/>
  <c r="P65" i="4"/>
  <c r="S62" i="4"/>
  <c r="N77" i="4"/>
  <c r="N116" i="4"/>
  <c r="N163" i="4"/>
  <c r="N171" i="4"/>
  <c r="N265" i="4"/>
  <c r="N155" i="4"/>
  <c r="N257" i="4"/>
  <c r="N273" i="4"/>
  <c r="N69" i="4"/>
  <c r="N108" i="4"/>
  <c r="N179" i="4"/>
  <c r="N61" i="4"/>
  <c r="N100" i="4"/>
  <c r="N210" i="4"/>
  <c r="N226" i="4"/>
  <c r="S60" i="4"/>
  <c r="N132" i="4"/>
  <c r="N218" i="4"/>
  <c r="N281" i="4"/>
  <c r="S76" i="4"/>
  <c r="Y34" i="4"/>
  <c r="W34" i="4" s="1"/>
  <c r="H10" i="3" s="1"/>
  <c r="AB39" i="4"/>
  <c r="W40" i="4" s="1"/>
  <c r="S109" i="4"/>
  <c r="S147" i="4"/>
  <c r="S154" i="4"/>
  <c r="S217" i="4"/>
  <c r="P238" i="4"/>
  <c r="S247" i="4"/>
  <c r="P252" i="4"/>
  <c r="AB13" i="4"/>
  <c r="S84" i="4"/>
  <c r="Y42" i="4"/>
  <c r="W42" i="4" s="1"/>
  <c r="J10" i="3" s="1"/>
  <c r="P112" i="4"/>
  <c r="S117" i="4"/>
  <c r="P175" i="4"/>
  <c r="S180" i="4"/>
  <c r="S258" i="4"/>
  <c r="AB22" i="4"/>
  <c r="P120" i="4"/>
  <c r="S125" i="4"/>
  <c r="P183" i="4"/>
  <c r="S192" i="4"/>
  <c r="P197" i="4"/>
  <c r="P261" i="4"/>
  <c r="W271" i="4"/>
  <c r="AB29" i="4"/>
  <c r="W28" i="4" s="1"/>
  <c r="S100" i="4"/>
  <c r="P128" i="4"/>
  <c r="S133" i="4"/>
  <c r="N169" i="4"/>
  <c r="S203" i="4"/>
  <c r="N249" i="4"/>
  <c r="S274" i="4"/>
  <c r="S70" i="4"/>
  <c r="P136" i="4"/>
  <c r="S145" i="4"/>
  <c r="S211" i="4"/>
  <c r="S282" i="4"/>
  <c r="AB15" i="4"/>
  <c r="P73" i="4"/>
  <c r="S78" i="4"/>
  <c r="S156" i="4"/>
  <c r="P214" i="4"/>
  <c r="S219" i="4"/>
  <c r="P285" i="4"/>
  <c r="S86" i="4"/>
  <c r="S98" i="4"/>
  <c r="U162" i="4" l="1"/>
  <c r="U165" i="4" s="1"/>
  <c r="S36" i="4"/>
  <c r="U38" i="4" s="1"/>
  <c r="S97" i="4"/>
  <c r="U99" i="4" s="1"/>
  <c r="S216" i="4"/>
  <c r="U218" i="4" s="1"/>
  <c r="N159" i="4"/>
  <c r="N34" i="4"/>
  <c r="S28" i="4"/>
  <c r="U30" i="4" s="1"/>
  <c r="N26" i="4"/>
  <c r="N18" i="4"/>
  <c r="N20" i="4"/>
  <c r="U21" i="4"/>
  <c r="U22" i="4"/>
  <c r="N22" i="4"/>
  <c r="U52" i="4"/>
  <c r="N81" i="4"/>
  <c r="U51" i="4"/>
  <c r="U54" i="4" s="1"/>
  <c r="N36" i="4"/>
  <c r="N16" i="4"/>
  <c r="U15" i="4"/>
  <c r="N40" i="4"/>
  <c r="N12" i="4"/>
  <c r="U13" i="4"/>
  <c r="N30" i="4"/>
  <c r="S224" i="4"/>
  <c r="S271" i="4"/>
  <c r="U274" i="4" s="1"/>
  <c r="N206" i="4"/>
  <c r="N167" i="4"/>
  <c r="AD23" i="4"/>
  <c r="AD21" i="4"/>
  <c r="S263" i="4"/>
  <c r="S144" i="4"/>
  <c r="U146" i="4" s="1"/>
  <c r="S83" i="4"/>
  <c r="U85" i="4" s="1"/>
  <c r="N98" i="4"/>
  <c r="N259" i="4"/>
  <c r="U78" i="4"/>
  <c r="N79" i="4"/>
  <c r="AB36" i="4"/>
  <c r="AD39" i="4" s="1"/>
  <c r="N87" i="4"/>
  <c r="N73" i="4"/>
  <c r="S67" i="4"/>
  <c r="W281" i="4"/>
  <c r="N181" i="4"/>
  <c r="N83" i="4"/>
  <c r="N110" i="4"/>
  <c r="N285" i="4"/>
  <c r="S279" i="4"/>
  <c r="U282" i="4" s="1"/>
  <c r="AD15" i="4"/>
  <c r="N145" i="4"/>
  <c r="N126" i="4"/>
  <c r="S169" i="4"/>
  <c r="N175" i="4"/>
  <c r="AD13" i="4"/>
  <c r="N216" i="4"/>
  <c r="N63" i="4"/>
  <c r="N283" i="4"/>
  <c r="N59" i="4"/>
  <c r="N65" i="4"/>
  <c r="S59" i="4"/>
  <c r="U61" i="4" s="1"/>
  <c r="U164" i="4"/>
  <c r="S114" i="4"/>
  <c r="U117" i="4" s="1"/>
  <c r="N120" i="4"/>
  <c r="N136" i="4"/>
  <c r="S130" i="4"/>
  <c r="U133" i="4" s="1"/>
  <c r="N128" i="4"/>
  <c r="S122" i="4"/>
  <c r="AB28" i="4"/>
  <c r="AD29" i="4" s="1"/>
  <c r="N71" i="4"/>
  <c r="N220" i="4"/>
  <c r="N134" i="4"/>
  <c r="N214" i="4"/>
  <c r="S208" i="4"/>
  <c r="S255" i="4"/>
  <c r="U258" i="4" s="1"/>
  <c r="N261" i="4"/>
  <c r="S246" i="4"/>
  <c r="U247" i="4" s="1"/>
  <c r="U250" i="4" s="1"/>
  <c r="N253" i="4"/>
  <c r="U163" i="4"/>
  <c r="N204" i="4"/>
  <c r="U203" i="4"/>
  <c r="N247" i="4"/>
  <c r="U76" i="4"/>
  <c r="U79" i="4" s="1"/>
  <c r="N75" i="4"/>
  <c r="U201" i="4"/>
  <c r="U204" i="4" s="1"/>
  <c r="U156" i="4"/>
  <c r="N157" i="4"/>
  <c r="N275" i="4"/>
  <c r="S191" i="4"/>
  <c r="U192" i="4" s="1"/>
  <c r="U195" i="4" s="1"/>
  <c r="N198" i="4"/>
  <c r="AD22" i="4"/>
  <c r="N118" i="4"/>
  <c r="N238" i="4"/>
  <c r="S232" i="4"/>
  <c r="U154" i="4"/>
  <c r="U157" i="4" s="1"/>
  <c r="N153" i="4"/>
  <c r="N192" i="4"/>
  <c r="AB4" i="4"/>
  <c r="AD5" i="4" s="1"/>
  <c r="S106" i="4"/>
  <c r="U109" i="4" s="1"/>
  <c r="N112" i="4"/>
  <c r="S177" i="4"/>
  <c r="N183" i="4"/>
  <c r="N212" i="4"/>
  <c r="N102" i="4"/>
  <c r="N149" i="4"/>
  <c r="W283" i="4"/>
  <c r="U98" i="4" l="1"/>
  <c r="U100" i="4"/>
  <c r="U101" i="4" s="1"/>
  <c r="U39" i="4"/>
  <c r="U37" i="4"/>
  <c r="U40" i="4" s="1"/>
  <c r="AD16" i="4"/>
  <c r="U145" i="4"/>
  <c r="U148" i="4" s="1"/>
  <c r="U147" i="4"/>
  <c r="U219" i="4"/>
  <c r="U217" i="4"/>
  <c r="U220" i="4" s="1"/>
  <c r="U31" i="4"/>
  <c r="U29" i="4"/>
  <c r="U32" i="4" s="1"/>
  <c r="U24" i="4"/>
  <c r="U16" i="4"/>
  <c r="U225" i="4"/>
  <c r="U228" i="4" s="1"/>
  <c r="U227" i="4"/>
  <c r="U226" i="4"/>
  <c r="U84" i="4"/>
  <c r="U87" i="4" s="1"/>
  <c r="U86" i="4"/>
  <c r="U273" i="4"/>
  <c r="U272" i="4"/>
  <c r="U275" i="4" s="1"/>
  <c r="AD24" i="4"/>
  <c r="U264" i="4"/>
  <c r="U267" i="4" s="1"/>
  <c r="U266" i="4"/>
  <c r="U265" i="4"/>
  <c r="U210" i="4"/>
  <c r="U209" i="4"/>
  <c r="U212" i="4" s="1"/>
  <c r="U115" i="4"/>
  <c r="U118" i="4" s="1"/>
  <c r="U116" i="4"/>
  <c r="U211" i="4"/>
  <c r="AD7" i="4"/>
  <c r="AD6" i="4"/>
  <c r="U248" i="4"/>
  <c r="U249" i="4"/>
  <c r="U179" i="4"/>
  <c r="U178" i="4"/>
  <c r="U181" i="4" s="1"/>
  <c r="U124" i="4"/>
  <c r="U123" i="4"/>
  <c r="U126" i="4" s="1"/>
  <c r="U62" i="4"/>
  <c r="U69" i="4"/>
  <c r="U68" i="4"/>
  <c r="U256" i="4"/>
  <c r="U259" i="4" s="1"/>
  <c r="U257" i="4"/>
  <c r="U70" i="4"/>
  <c r="U108" i="4"/>
  <c r="U107" i="4"/>
  <c r="U110" i="4" s="1"/>
  <c r="U193" i="4"/>
  <c r="U194" i="4"/>
  <c r="AD31" i="4"/>
  <c r="AD30" i="4"/>
  <c r="U131" i="4"/>
  <c r="U134" i="4" s="1"/>
  <c r="U132" i="4"/>
  <c r="U170" i="4"/>
  <c r="U173" i="4" s="1"/>
  <c r="U171" i="4"/>
  <c r="U172" i="4"/>
  <c r="U280" i="4"/>
  <c r="U283" i="4" s="1"/>
  <c r="U281" i="4"/>
  <c r="U180" i="4"/>
  <c r="AD38" i="4"/>
  <c r="AD37" i="4"/>
  <c r="U233" i="4"/>
  <c r="U236" i="4" s="1"/>
  <c r="U234" i="4"/>
  <c r="U235" i="4"/>
  <c r="U60" i="4"/>
  <c r="U125" i="4"/>
  <c r="U63" i="4" l="1"/>
  <c r="AD32" i="4"/>
  <c r="U71" i="4"/>
  <c r="AD8" i="4"/>
  <c r="AD40" i="4"/>
  <c r="J2" i="3" l="1"/>
  <c r="L2" i="3"/>
  <c r="D11" i="3" l="1"/>
  <c r="F11" i="3" s="1"/>
  <c r="H11" i="3" s="1"/>
  <c r="J11" i="3" s="1"/>
  <c r="L11" i="3" s="1"/>
  <c r="B20" i="3" l="1"/>
  <c r="D20" i="3" s="1"/>
  <c r="F20" i="3" s="1"/>
  <c r="H20" i="3" s="1"/>
  <c r="J20" i="3" s="1"/>
  <c r="L20" i="3" l="1"/>
  <c r="B29" i="3"/>
  <c r="D29" i="3" s="1"/>
  <c r="F29" i="3" s="1"/>
  <c r="H29" i="3" s="1"/>
  <c r="J29" i="3" s="1"/>
  <c r="B38" i="3" l="1"/>
  <c r="D38" i="3" s="1"/>
  <c r="F38" i="3" s="1"/>
  <c r="H38" i="3" s="1"/>
  <c r="J38" i="3" s="1"/>
  <c r="L29" i="3"/>
  <c r="B47" i="3" l="1"/>
  <c r="D47" i="3" s="1"/>
  <c r="F47" i="3" s="1"/>
  <c r="H47" i="3" s="1"/>
  <c r="J47" i="3" s="1"/>
  <c r="L47" i="3" s="1"/>
  <c r="L38" i="3"/>
</calcChain>
</file>

<file path=xl/sharedStrings.xml><?xml version="1.0" encoding="utf-8"?>
<sst xmlns="http://schemas.openxmlformats.org/spreadsheetml/2006/main" count="2915" uniqueCount="652">
  <si>
    <t>全穀雜糧類</t>
  </si>
  <si>
    <t>份</t>
    <phoneticPr fontId="3" type="noConversion"/>
  </si>
  <si>
    <t>熱量</t>
    <phoneticPr fontId="3" type="noConversion"/>
  </si>
  <si>
    <t>Kcal</t>
    <phoneticPr fontId="3" type="noConversion"/>
  </si>
  <si>
    <t>白米</t>
    <phoneticPr fontId="3" type="noConversion"/>
  </si>
  <si>
    <t>豆魚蛋肉類</t>
  </si>
  <si>
    <t>g</t>
    <phoneticPr fontId="3" type="noConversion"/>
  </si>
  <si>
    <t>蔬菜類</t>
    <phoneticPr fontId="3" type="noConversion"/>
  </si>
  <si>
    <t>脂質</t>
    <phoneticPr fontId="3" type="noConversion"/>
  </si>
  <si>
    <t>乳品類</t>
  </si>
  <si>
    <t>星期一</t>
    <phoneticPr fontId="3" type="noConversion"/>
  </si>
  <si>
    <t>油脂與堅果種子類</t>
    <phoneticPr fontId="3" type="noConversion"/>
  </si>
  <si>
    <t>熱量kcal：</t>
    <phoneticPr fontId="3" type="noConversion"/>
  </si>
  <si>
    <t>食材總熱量</t>
    <phoneticPr fontId="3" type="noConversion"/>
  </si>
  <si>
    <t>綜合豬血湯</t>
    <phoneticPr fontId="3" type="noConversion"/>
  </si>
  <si>
    <t>星期二</t>
    <phoneticPr fontId="3" type="noConversion"/>
  </si>
  <si>
    <t>香Q白飯</t>
    <phoneticPr fontId="3" type="noConversion"/>
  </si>
  <si>
    <t>星期三</t>
    <phoneticPr fontId="3" type="noConversion"/>
  </si>
  <si>
    <t>炒</t>
  </si>
  <si>
    <t>小米飯</t>
    <phoneticPr fontId="3" type="noConversion"/>
  </si>
  <si>
    <t>小米</t>
    <phoneticPr fontId="3" type="noConversion"/>
  </si>
  <si>
    <t>星期四</t>
    <phoneticPr fontId="3" type="noConversion"/>
  </si>
  <si>
    <t>紅K</t>
  </si>
  <si>
    <t>星期五</t>
    <phoneticPr fontId="3" type="noConversion"/>
  </si>
  <si>
    <t>1人1餐份數*____餐</t>
    <phoneticPr fontId="3" type="noConversion"/>
  </si>
  <si>
    <t>菜單開立均是以可食量(EP)計算</t>
    <phoneticPr fontId="3" type="noConversion"/>
  </si>
  <si>
    <t>每週一、三、五提供深綠色蔬菜 (有機蔬菜菜名需待前一週農民告知)</t>
    <phoneticPr fontId="3" type="noConversion"/>
  </si>
  <si>
    <t>全面使用非基改豆製品</t>
    <phoneticPr fontId="3" type="noConversion"/>
  </si>
  <si>
    <t>水果若是香蕉為2份；蘋果、芭樂、橘子為1份；小番茄、葡萄等為0.3份(水果需待前一週廠商告知)</t>
    <phoneticPr fontId="3" type="noConversion"/>
  </si>
  <si>
    <t>紫菜蛋花湯</t>
    <phoneticPr fontId="3" type="noConversion"/>
  </si>
  <si>
    <t>金茸三絲湯</t>
    <phoneticPr fontId="3" type="noConversion"/>
  </si>
  <si>
    <t>蔥燒雞腿</t>
    <phoneticPr fontId="3" type="noConversion"/>
  </si>
  <si>
    <t>薑燒肉片</t>
    <phoneticPr fontId="3" type="noConversion"/>
  </si>
  <si>
    <t>家常冬粉</t>
    <phoneticPr fontId="3" type="noConversion"/>
  </si>
  <si>
    <t>秋分養生湯</t>
    <phoneticPr fontId="3" type="noConversion"/>
  </si>
  <si>
    <t>高麗菜</t>
  </si>
  <si>
    <t>紅K絲</t>
  </si>
  <si>
    <t>岩燒里肌</t>
    <phoneticPr fontId="3" type="noConversion"/>
  </si>
  <si>
    <t>八寶肉醬</t>
    <phoneticPr fontId="3" type="noConversion"/>
  </si>
  <si>
    <t>鮮魷拌雙花</t>
    <phoneticPr fontId="3" type="noConversion"/>
  </si>
  <si>
    <t>紅燒獅子頭</t>
    <phoneticPr fontId="3" type="noConversion"/>
  </si>
  <si>
    <t>海芽味噌湯</t>
    <phoneticPr fontId="3" type="noConversion"/>
  </si>
  <si>
    <t>星期六</t>
    <phoneticPr fontId="3" type="noConversion"/>
  </si>
  <si>
    <t>肉燥油腐</t>
    <phoneticPr fontId="3" type="noConversion"/>
  </si>
  <si>
    <t>菇菇高麗菜</t>
    <phoneticPr fontId="3" type="noConversion"/>
  </si>
  <si>
    <t>南瓜濃湯</t>
    <phoneticPr fontId="3" type="noConversion"/>
  </si>
  <si>
    <t>BBQ烤雞翅</t>
    <phoneticPr fontId="3" type="noConversion"/>
  </si>
  <si>
    <t>鳳梨燉雞</t>
    <phoneticPr fontId="3" type="noConversion"/>
  </si>
  <si>
    <t>黃瓜肉羹</t>
    <phoneticPr fontId="3" type="noConversion"/>
  </si>
  <si>
    <t>鮮蔬炒香腸</t>
    <phoneticPr fontId="3" type="noConversion"/>
  </si>
  <si>
    <t>第1週</t>
    <phoneticPr fontId="3" type="noConversion"/>
  </si>
  <si>
    <t>星期一</t>
    <phoneticPr fontId="3" type="noConversion"/>
  </si>
  <si>
    <t>星期三</t>
    <phoneticPr fontId="3" type="noConversion"/>
  </si>
  <si>
    <t>星期四</t>
    <phoneticPr fontId="3" type="noConversion"/>
  </si>
  <si>
    <t>星期六</t>
    <phoneticPr fontId="3" type="noConversion"/>
  </si>
  <si>
    <t>小米飯</t>
    <phoneticPr fontId="3" type="noConversion"/>
  </si>
  <si>
    <t>熱量(kcal)</t>
    <phoneticPr fontId="3" type="noConversion"/>
  </si>
  <si>
    <t>星期一</t>
    <phoneticPr fontId="3" type="noConversion"/>
  </si>
  <si>
    <t>星期二</t>
    <phoneticPr fontId="3" type="noConversion"/>
  </si>
  <si>
    <t>星期五</t>
    <phoneticPr fontId="3" type="noConversion"/>
  </si>
  <si>
    <t>星期六</t>
    <phoneticPr fontId="3" type="noConversion"/>
  </si>
  <si>
    <t>小米飯</t>
    <phoneticPr fontId="3" type="noConversion"/>
  </si>
  <si>
    <t xml:space="preserve">                                                                             </t>
    <phoneticPr fontId="3" type="noConversion"/>
  </si>
  <si>
    <t>蔗香雞翅</t>
    <phoneticPr fontId="3" type="noConversion"/>
  </si>
  <si>
    <t>日式炸豬排</t>
    <phoneticPr fontId="3" type="noConversion"/>
  </si>
  <si>
    <t>蒜香雞腿</t>
    <phoneticPr fontId="3" type="noConversion"/>
  </si>
  <si>
    <t>杏菇豬排</t>
    <phoneticPr fontId="3" type="noConversion"/>
  </si>
  <si>
    <t>鮮蔬火鍋</t>
    <phoneticPr fontId="3" type="noConversion"/>
  </si>
  <si>
    <t>紅仁炒蛋</t>
    <phoneticPr fontId="3" type="noConversion"/>
  </si>
  <si>
    <t>小瓜魚輪</t>
    <phoneticPr fontId="3" type="noConversion"/>
  </si>
  <si>
    <t>五更豆腐煲</t>
    <phoneticPr fontId="3" type="noConversion"/>
  </si>
  <si>
    <t>奶香白菜</t>
    <phoneticPr fontId="3" type="noConversion"/>
  </si>
  <si>
    <t>台北蘿蔔燒</t>
    <phoneticPr fontId="3" type="noConversion"/>
  </si>
  <si>
    <t>豚肉拌白花</t>
    <phoneticPr fontId="3" type="noConversion"/>
  </si>
  <si>
    <t>柴香花枝丸</t>
    <phoneticPr fontId="3" type="noConversion"/>
  </si>
  <si>
    <t>肉骨茶湯</t>
    <phoneticPr fontId="3" type="noConversion"/>
  </si>
  <si>
    <t>茶壺雞湯</t>
    <phoneticPr fontId="3" type="noConversion"/>
  </si>
  <si>
    <t>熱量(kcal)</t>
    <phoneticPr fontId="3" type="noConversion"/>
  </si>
  <si>
    <t>星期四</t>
    <phoneticPr fontId="3" type="noConversion"/>
  </si>
  <si>
    <t>香雞排</t>
    <phoneticPr fontId="3" type="noConversion"/>
  </si>
  <si>
    <t>春川雞丁</t>
    <phoneticPr fontId="3" type="noConversion"/>
  </si>
  <si>
    <t>蜜汁翅小腿</t>
    <phoneticPr fontId="3" type="noConversion"/>
  </si>
  <si>
    <t>味噌高麗肉片</t>
    <phoneticPr fontId="3" type="noConversion"/>
  </si>
  <si>
    <t>玉米炒蛋</t>
    <phoneticPr fontId="3" type="noConversion"/>
  </si>
  <si>
    <t>鮮蔬燴鴿蛋</t>
    <phoneticPr fontId="3" type="noConversion"/>
  </si>
  <si>
    <t>肉燥海根</t>
    <phoneticPr fontId="3" type="noConversion"/>
  </si>
  <si>
    <t>熱量(kcal)</t>
    <phoneticPr fontId="3" type="noConversion"/>
  </si>
  <si>
    <t>咖哩洋芋</t>
    <phoneticPr fontId="3" type="noConversion"/>
  </si>
  <si>
    <t>泰式打拋肉</t>
    <phoneticPr fontId="3" type="noConversion"/>
  </si>
  <si>
    <t>四季甜條</t>
    <phoneticPr fontId="3" type="noConversion"/>
  </si>
  <si>
    <t>有任何問題，請找貝佳服務人員，謝謝您!</t>
    <phoneticPr fontId="3" type="noConversion"/>
  </si>
  <si>
    <t>星期二</t>
    <phoneticPr fontId="3" type="noConversion"/>
  </si>
  <si>
    <t>星期五</t>
    <phoneticPr fontId="3" type="noConversion"/>
  </si>
  <si>
    <t>星期六</t>
    <phoneticPr fontId="3" type="noConversion"/>
  </si>
  <si>
    <t>小米飯</t>
    <phoneticPr fontId="3" type="noConversion"/>
  </si>
  <si>
    <t>香滷雞腿</t>
    <phoneticPr fontId="3" type="noConversion"/>
  </si>
  <si>
    <t>壽喜燒肉</t>
    <phoneticPr fontId="3" type="noConversion"/>
  </si>
  <si>
    <t>卡啦腿排</t>
    <phoneticPr fontId="3" type="noConversion"/>
  </si>
  <si>
    <t>蜜汁里肌</t>
    <phoneticPr fontId="3" type="noConversion"/>
  </si>
  <si>
    <t>糖醋雞丁</t>
    <phoneticPr fontId="3" type="noConversion"/>
  </si>
  <si>
    <t>鮮蔬蝦捲</t>
    <phoneticPr fontId="3" type="noConversion"/>
  </si>
  <si>
    <t>洋芋肉燥</t>
    <phoneticPr fontId="3" type="noConversion"/>
  </si>
  <si>
    <t>青花炒魷魚</t>
    <phoneticPr fontId="3" type="noConversion"/>
  </si>
  <si>
    <t>鮮瓜什錦</t>
    <phoneticPr fontId="3" type="noConversion"/>
  </si>
  <si>
    <t>彩繪海雲吞</t>
    <phoneticPr fontId="3" type="noConversion"/>
  </si>
  <si>
    <t>綜合豬血湯</t>
    <phoneticPr fontId="3" type="noConversion"/>
  </si>
  <si>
    <t>日式味噌湯</t>
    <phoneticPr fontId="3" type="noConversion"/>
  </si>
  <si>
    <t>熱量(kcal)</t>
    <phoneticPr fontId="3" type="noConversion"/>
  </si>
  <si>
    <t>星期三</t>
    <phoneticPr fontId="3" type="noConversion"/>
  </si>
  <si>
    <t>星期四</t>
    <phoneticPr fontId="3" type="noConversion"/>
  </si>
  <si>
    <t>星期一</t>
    <phoneticPr fontId="3" type="noConversion"/>
  </si>
  <si>
    <t>星期二</t>
    <phoneticPr fontId="3" type="noConversion"/>
  </si>
  <si>
    <t>星期三</t>
    <phoneticPr fontId="3" type="noConversion"/>
  </si>
  <si>
    <t>星期五</t>
    <phoneticPr fontId="3" type="noConversion"/>
  </si>
  <si>
    <t>鳳梨咕咾肉</t>
    <phoneticPr fontId="3" type="noConversion"/>
  </si>
  <si>
    <t>三杯雞</t>
    <phoneticPr fontId="3" type="noConversion"/>
  </si>
  <si>
    <t>燒烤雞翅</t>
    <phoneticPr fontId="3" type="noConversion"/>
  </si>
  <si>
    <t>蜜汁豆干</t>
    <phoneticPr fontId="3" type="noConversion"/>
  </si>
  <si>
    <t>太祖白菜</t>
    <phoneticPr fontId="3" type="noConversion"/>
  </si>
  <si>
    <t>咖哩肉丸</t>
    <phoneticPr fontId="3" type="noConversion"/>
  </si>
  <si>
    <t>海帶三絲</t>
    <phoneticPr fontId="3" type="noConversion"/>
  </si>
  <si>
    <t>玉米蛋花湯</t>
    <phoneticPr fontId="3" type="noConversion"/>
  </si>
  <si>
    <t>香鬆炒飯</t>
    <phoneticPr fontId="3" type="noConversion"/>
  </si>
  <si>
    <t>仙草奶茶</t>
    <phoneticPr fontId="3" type="noConversion"/>
  </si>
  <si>
    <t>香Q白飯</t>
    <phoneticPr fontId="3" type="noConversion"/>
  </si>
  <si>
    <t>日式炒烏龍</t>
    <phoneticPr fontId="3" type="noConversion"/>
  </si>
  <si>
    <t>玉米肉末</t>
    <phoneticPr fontId="3" type="noConversion"/>
  </si>
  <si>
    <t>鐵板高麗</t>
    <phoneticPr fontId="3" type="noConversion"/>
  </si>
  <si>
    <t>地瓜圓奶茶</t>
    <phoneticPr fontId="3" type="noConversion"/>
  </si>
  <si>
    <t>大滷桶</t>
    <phoneticPr fontId="3" type="noConversion"/>
  </si>
  <si>
    <t>仙草冬瓜茶</t>
    <phoneticPr fontId="3" type="noConversion"/>
  </si>
  <si>
    <t>咖哩炒飯</t>
    <phoneticPr fontId="3" type="noConversion"/>
  </si>
  <si>
    <t>牛角可頌</t>
    <phoneticPr fontId="3" type="noConversion"/>
  </si>
  <si>
    <t>紫菜蛋花湯</t>
    <phoneticPr fontId="3" type="noConversion"/>
  </si>
  <si>
    <t>燕麥飯</t>
    <phoneticPr fontId="3" type="noConversion"/>
  </si>
  <si>
    <t>珍珠紅茶</t>
    <phoneticPr fontId="3" type="noConversion"/>
  </si>
  <si>
    <t>冬瓜山粉圓</t>
    <phoneticPr fontId="3" type="noConversion"/>
  </si>
  <si>
    <t>可樂豬腳</t>
    <phoneticPr fontId="3" type="noConversion"/>
  </si>
  <si>
    <t>佛跳牆</t>
    <phoneticPr fontId="3" type="noConversion"/>
  </si>
  <si>
    <t>蛋酥炒高麗</t>
    <phoneticPr fontId="3" type="noConversion"/>
  </si>
  <si>
    <t>塔香百頁</t>
    <phoneticPr fontId="3" type="noConversion"/>
  </si>
  <si>
    <t>蔥燒肉排</t>
    <phoneticPr fontId="3" type="noConversion"/>
  </si>
  <si>
    <t>雙菇蛋花湯</t>
    <phoneticPr fontId="3" type="noConversion"/>
  </si>
  <si>
    <t>大理石麵包</t>
    <phoneticPr fontId="3" type="noConversion"/>
  </si>
  <si>
    <t>五香豆干</t>
    <phoneticPr fontId="3" type="noConversion"/>
  </si>
  <si>
    <t>玉筍花椰</t>
    <phoneticPr fontId="3" type="noConversion"/>
  </si>
  <si>
    <t>鮮蔬炒菇</t>
    <phoneticPr fontId="3" type="noConversion"/>
  </si>
  <si>
    <t>青花炒鳥蛋</t>
    <phoneticPr fontId="3" type="noConversion"/>
  </si>
  <si>
    <t>蔥爆肉片</t>
  </si>
  <si>
    <t>香菇雞</t>
  </si>
  <si>
    <t>四季干片</t>
  </si>
  <si>
    <t>綜合滷味</t>
  </si>
  <si>
    <t>海芽味噌湯</t>
  </si>
  <si>
    <t>黃瓜排骨湯</t>
    <phoneticPr fontId="3" type="noConversion"/>
  </si>
  <si>
    <t>冬瓜排骨湯</t>
    <phoneticPr fontId="3" type="noConversion"/>
  </si>
  <si>
    <t>黃瓜雞湯</t>
    <phoneticPr fontId="3" type="noConversion"/>
  </si>
  <si>
    <t>筍片排骨湯</t>
    <phoneticPr fontId="3" type="noConversion"/>
  </si>
  <si>
    <t>冬瓜雞湯</t>
    <phoneticPr fontId="3" type="noConversion"/>
  </si>
  <si>
    <t>香菇白菜滷</t>
    <phoneticPr fontId="3" type="noConversion"/>
  </si>
  <si>
    <t>古早味米粉湯</t>
    <phoneticPr fontId="3" type="noConversion"/>
  </si>
  <si>
    <t>第2週</t>
    <phoneticPr fontId="3" type="noConversion"/>
  </si>
  <si>
    <t>第3週</t>
    <phoneticPr fontId="3" type="noConversion"/>
  </si>
  <si>
    <t>第4週</t>
    <phoneticPr fontId="3" type="noConversion"/>
  </si>
  <si>
    <t>第5週</t>
    <phoneticPr fontId="3" type="noConversion"/>
  </si>
  <si>
    <t>第6週</t>
    <phoneticPr fontId="3" type="noConversion"/>
  </si>
  <si>
    <t>珍珠豆沙包</t>
    <phoneticPr fontId="3" type="noConversion"/>
  </si>
  <si>
    <t>芋香五彩</t>
    <phoneticPr fontId="3" type="noConversion"/>
  </si>
  <si>
    <t>玉米鮮蔬湯</t>
    <phoneticPr fontId="3" type="noConversion"/>
  </si>
  <si>
    <t>空心菜</t>
    <phoneticPr fontId="3" type="noConversion"/>
  </si>
  <si>
    <t>油菜</t>
    <phoneticPr fontId="3" type="noConversion"/>
  </si>
  <si>
    <t>小白菜</t>
    <phoneticPr fontId="3" type="noConversion"/>
  </si>
  <si>
    <t>青江菜</t>
    <phoneticPr fontId="3" type="noConversion"/>
  </si>
  <si>
    <t>鵝白菜</t>
    <phoneticPr fontId="3" type="noConversion"/>
  </si>
  <si>
    <t>鵝白菜</t>
    <phoneticPr fontId="3" type="noConversion"/>
  </si>
  <si>
    <t>青江菜</t>
    <phoneticPr fontId="3" type="noConversion"/>
  </si>
  <si>
    <t>日式蒸蛋</t>
    <phoneticPr fontId="3" type="noConversion"/>
  </si>
  <si>
    <t>胡瓜什錦</t>
    <phoneticPr fontId="3" type="noConversion"/>
  </si>
  <si>
    <t>鮮繪什錦</t>
    <phoneticPr fontId="3" type="noConversion"/>
  </si>
  <si>
    <t>油菜</t>
    <phoneticPr fontId="3" type="noConversion"/>
  </si>
  <si>
    <t>小白菜</t>
    <phoneticPr fontId="3" type="noConversion"/>
  </si>
  <si>
    <t>醬燒肉片</t>
    <phoneticPr fontId="3" type="noConversion"/>
  </si>
  <si>
    <t>塔香鮮菇</t>
    <phoneticPr fontId="3" type="noConversion"/>
  </si>
  <si>
    <t>蔥爆肉片</t>
    <phoneticPr fontId="3" type="noConversion"/>
  </si>
  <si>
    <t>青花炒鳥蛋</t>
    <phoneticPr fontId="3" type="noConversion"/>
  </si>
  <si>
    <t>綜合滷味</t>
    <phoneticPr fontId="3" type="noConversion"/>
  </si>
  <si>
    <t>季節蔬菜</t>
    <phoneticPr fontId="3" type="noConversion"/>
  </si>
  <si>
    <t>油菜</t>
    <phoneticPr fontId="3" type="noConversion"/>
  </si>
  <si>
    <t>小米飯</t>
    <phoneticPr fontId="3" type="noConversion"/>
  </si>
  <si>
    <t>黃瓜雞湯</t>
    <phoneticPr fontId="3" type="noConversion"/>
  </si>
  <si>
    <t>糖醋雞丁</t>
    <phoneticPr fontId="3" type="noConversion"/>
  </si>
  <si>
    <t>香菇雞</t>
    <phoneticPr fontId="3" type="noConversion"/>
  </si>
  <si>
    <t>四季干片</t>
    <phoneticPr fontId="3" type="noConversion"/>
  </si>
  <si>
    <t>海芽味噌湯</t>
    <phoneticPr fontId="3" type="noConversion"/>
  </si>
  <si>
    <t>香Q白飯</t>
    <phoneticPr fontId="3" type="noConversion"/>
  </si>
  <si>
    <t>燒</t>
    <phoneticPr fontId="3" type="noConversion"/>
  </si>
  <si>
    <t>炒</t>
    <phoneticPr fontId="3" type="noConversion"/>
  </si>
  <si>
    <t>煮</t>
    <phoneticPr fontId="3" type="noConversion"/>
  </si>
  <si>
    <t>燙</t>
    <phoneticPr fontId="3" type="noConversion"/>
  </si>
  <si>
    <t>蒸</t>
    <phoneticPr fontId="3" type="noConversion"/>
  </si>
  <si>
    <t>烤</t>
    <phoneticPr fontId="3" type="noConversion"/>
  </si>
  <si>
    <t>肉片</t>
    <phoneticPr fontId="3" type="noConversion"/>
  </si>
  <si>
    <t>洋蔥</t>
    <phoneticPr fontId="3" type="noConversion"/>
  </si>
  <si>
    <t>炒</t>
    <phoneticPr fontId="3" type="noConversion"/>
  </si>
  <si>
    <t>青花</t>
    <phoneticPr fontId="3" type="noConversion"/>
  </si>
  <si>
    <t>鳥蛋</t>
    <phoneticPr fontId="3" type="noConversion"/>
  </si>
  <si>
    <t>紅蘿蔔</t>
    <phoneticPr fontId="3" type="noConversion"/>
  </si>
  <si>
    <t>黃瓜</t>
    <phoneticPr fontId="3" type="noConversion"/>
  </si>
  <si>
    <t>雞丁</t>
    <phoneticPr fontId="3" type="noConversion"/>
  </si>
  <si>
    <t>廢棄率</t>
    <phoneticPr fontId="3" type="noConversion"/>
  </si>
  <si>
    <t>香菇</t>
    <phoneticPr fontId="3" type="noConversion"/>
  </si>
  <si>
    <t>四季豆</t>
    <phoneticPr fontId="3" type="noConversion"/>
  </si>
  <si>
    <t>豆干</t>
    <phoneticPr fontId="3" type="noConversion"/>
  </si>
  <si>
    <t>小白菜</t>
    <phoneticPr fontId="3" type="noConversion"/>
  </si>
  <si>
    <t>海芽</t>
    <phoneticPr fontId="3" type="noConversion"/>
  </si>
  <si>
    <t>味噌</t>
    <phoneticPr fontId="3" type="noConversion"/>
  </si>
  <si>
    <t>煮</t>
    <phoneticPr fontId="3" type="noConversion"/>
  </si>
  <si>
    <r>
      <rPr>
        <sz val="16"/>
        <rFont val="新細明體"/>
        <family val="1"/>
        <charset val="136"/>
      </rPr>
      <t>9月份午餐食材明細+營養分析</t>
    </r>
    <r>
      <rPr>
        <sz val="12"/>
        <rFont val="新細明體"/>
        <family val="1"/>
        <charset val="136"/>
      </rPr>
      <t xml:space="preserve">                   貝佳【第1週】</t>
    </r>
    <phoneticPr fontId="3" type="noConversion"/>
  </si>
  <si>
    <t>日期</t>
    <phoneticPr fontId="3" type="noConversion"/>
  </si>
  <si>
    <t>主菜</t>
    <phoneticPr fontId="3" type="noConversion"/>
  </si>
  <si>
    <t>重量(g)</t>
    <phoneticPr fontId="3" type="noConversion"/>
  </si>
  <si>
    <t>副菜</t>
    <phoneticPr fontId="3" type="noConversion"/>
  </si>
  <si>
    <t>青菜</t>
    <phoneticPr fontId="3" type="noConversion"/>
  </si>
  <si>
    <t>湯</t>
    <phoneticPr fontId="3" type="noConversion"/>
  </si>
  <si>
    <t>主食</t>
    <phoneticPr fontId="3" type="noConversion"/>
  </si>
  <si>
    <t xml:space="preserve">營養分析 </t>
    <phoneticPr fontId="3" type="noConversion"/>
  </si>
  <si>
    <t>營養分析</t>
    <phoneticPr fontId="3" type="noConversion"/>
  </si>
  <si>
    <t>佛跳牆</t>
    <phoneticPr fontId="3" type="noConversion"/>
  </si>
  <si>
    <t>五香豆干</t>
    <phoneticPr fontId="3" type="noConversion"/>
  </si>
  <si>
    <t>季節蔬菜</t>
    <phoneticPr fontId="3" type="noConversion"/>
  </si>
  <si>
    <t>醣類g：</t>
    <phoneticPr fontId="3" type="noConversion"/>
  </si>
  <si>
    <t>份</t>
    <phoneticPr fontId="3" type="noConversion"/>
  </si>
  <si>
    <t>熱量</t>
    <phoneticPr fontId="3" type="noConversion"/>
  </si>
  <si>
    <t>Kcal</t>
    <phoneticPr fontId="3" type="noConversion"/>
  </si>
  <si>
    <t>%</t>
    <phoneticPr fontId="3" type="noConversion"/>
  </si>
  <si>
    <t>醣類g：</t>
    <phoneticPr fontId="3" type="noConversion"/>
  </si>
  <si>
    <t>食物六大類</t>
    <phoneticPr fontId="3" type="noConversion"/>
  </si>
  <si>
    <t>三大營養素</t>
    <phoneticPr fontId="3" type="noConversion"/>
  </si>
  <si>
    <t>大白菜</t>
    <phoneticPr fontId="3" type="noConversion"/>
  </si>
  <si>
    <t>豆干</t>
    <phoneticPr fontId="3" type="noConversion"/>
  </si>
  <si>
    <t>空心菜</t>
    <phoneticPr fontId="3" type="noConversion"/>
  </si>
  <si>
    <t>冬瓜</t>
    <phoneticPr fontId="3" type="noConversion"/>
  </si>
  <si>
    <t>白米</t>
    <phoneticPr fontId="3" type="noConversion"/>
  </si>
  <si>
    <t>份</t>
    <phoneticPr fontId="3" type="noConversion"/>
  </si>
  <si>
    <t>醣類</t>
    <phoneticPr fontId="3" type="noConversion"/>
  </si>
  <si>
    <t>g</t>
    <phoneticPr fontId="3" type="noConversion"/>
  </si>
  <si>
    <t>竹筍</t>
    <phoneticPr fontId="3" type="noConversion"/>
  </si>
  <si>
    <t>紅K</t>
    <phoneticPr fontId="3" type="noConversion"/>
  </si>
  <si>
    <t>脂肪g：</t>
    <phoneticPr fontId="3" type="noConversion"/>
  </si>
  <si>
    <t>蔬菜類</t>
    <phoneticPr fontId="3" type="noConversion"/>
  </si>
  <si>
    <t>脂質</t>
    <phoneticPr fontId="3" type="noConversion"/>
  </si>
  <si>
    <t>玉米粒</t>
    <phoneticPr fontId="3" type="noConversion"/>
  </si>
  <si>
    <t>紅蘿蔔</t>
    <phoneticPr fontId="3" type="noConversion"/>
  </si>
  <si>
    <t>毛豆仁</t>
    <phoneticPr fontId="3" type="noConversion"/>
  </si>
  <si>
    <t>薑</t>
    <phoneticPr fontId="3" type="noConversion"/>
  </si>
  <si>
    <t>水果類</t>
    <phoneticPr fontId="3" type="noConversion"/>
  </si>
  <si>
    <t>蛋白質</t>
    <phoneticPr fontId="3" type="noConversion"/>
  </si>
  <si>
    <t>g</t>
    <phoneticPr fontId="3" type="noConversion"/>
  </si>
  <si>
    <t>洋芋</t>
    <phoneticPr fontId="3" type="noConversion"/>
  </si>
  <si>
    <t>木耳</t>
    <phoneticPr fontId="3" type="noConversion"/>
  </si>
  <si>
    <t>蛋白質g：</t>
    <phoneticPr fontId="3" type="noConversion"/>
  </si>
  <si>
    <t>蛋白質g：</t>
    <phoneticPr fontId="3" type="noConversion"/>
  </si>
  <si>
    <t>水果類</t>
    <phoneticPr fontId="3" type="noConversion"/>
  </si>
  <si>
    <t>份</t>
    <phoneticPr fontId="3" type="noConversion"/>
  </si>
  <si>
    <t>蛋白質</t>
    <phoneticPr fontId="3" type="noConversion"/>
  </si>
  <si>
    <t>g</t>
    <phoneticPr fontId="3" type="noConversion"/>
  </si>
  <si>
    <t>紅K</t>
    <phoneticPr fontId="3" type="noConversion"/>
  </si>
  <si>
    <t>青豆仁</t>
    <phoneticPr fontId="3" type="noConversion"/>
  </si>
  <si>
    <t>星期一</t>
    <phoneticPr fontId="3" type="noConversion"/>
  </si>
  <si>
    <t>芋頭</t>
    <phoneticPr fontId="3" type="noConversion"/>
  </si>
  <si>
    <t>油脂與堅果種子類</t>
    <phoneticPr fontId="3" type="noConversion"/>
  </si>
  <si>
    <t>洋蔥</t>
    <phoneticPr fontId="3" type="noConversion"/>
  </si>
  <si>
    <t>鳥蛋</t>
    <phoneticPr fontId="3" type="noConversion"/>
  </si>
  <si>
    <t>熱量kcal：</t>
    <phoneticPr fontId="3" type="noConversion"/>
  </si>
  <si>
    <t>食材總熱量</t>
    <phoneticPr fontId="3" type="noConversion"/>
  </si>
  <si>
    <t>Kcal</t>
    <phoneticPr fontId="3" type="noConversion"/>
  </si>
  <si>
    <t>滷</t>
    <phoneticPr fontId="3" type="noConversion"/>
  </si>
  <si>
    <t>壽喜燒肉</t>
    <phoneticPr fontId="3" type="noConversion"/>
  </si>
  <si>
    <t>鮮蔬蝦捲</t>
    <phoneticPr fontId="3" type="noConversion"/>
  </si>
  <si>
    <t>季節蔬菜</t>
    <phoneticPr fontId="3" type="noConversion"/>
  </si>
  <si>
    <t>綜合豬血湯</t>
    <phoneticPr fontId="3" type="noConversion"/>
  </si>
  <si>
    <t>燕麥飯</t>
    <phoneticPr fontId="3" type="noConversion"/>
  </si>
  <si>
    <t>豬肉片</t>
    <phoneticPr fontId="3" type="noConversion"/>
  </si>
  <si>
    <t>蝦捲</t>
    <phoneticPr fontId="3" type="noConversion"/>
  </si>
  <si>
    <t>高麗菜</t>
    <phoneticPr fontId="3" type="noConversion"/>
  </si>
  <si>
    <t>油菜</t>
    <phoneticPr fontId="3" type="noConversion"/>
  </si>
  <si>
    <t>豬血</t>
    <phoneticPr fontId="3" type="noConversion"/>
  </si>
  <si>
    <t>白米</t>
    <phoneticPr fontId="3" type="noConversion"/>
  </si>
  <si>
    <t>熱量</t>
    <phoneticPr fontId="3" type="noConversion"/>
  </si>
  <si>
    <t>洋蔥</t>
    <phoneticPr fontId="3" type="noConversion"/>
  </si>
  <si>
    <t>玉米</t>
    <phoneticPr fontId="3" type="noConversion"/>
  </si>
  <si>
    <t>燕麥</t>
    <phoneticPr fontId="3" type="noConversion"/>
  </si>
  <si>
    <t>酸菜</t>
    <phoneticPr fontId="3" type="noConversion"/>
  </si>
  <si>
    <t>青蔥</t>
    <phoneticPr fontId="3" type="noConversion"/>
  </si>
  <si>
    <t>青豆仁</t>
    <phoneticPr fontId="3" type="noConversion"/>
  </si>
  <si>
    <t>薑絲</t>
    <phoneticPr fontId="3" type="noConversion"/>
  </si>
  <si>
    <t>水果類</t>
    <phoneticPr fontId="3" type="noConversion"/>
  </si>
  <si>
    <t>蛋白質</t>
    <phoneticPr fontId="3" type="noConversion"/>
  </si>
  <si>
    <t>星期二</t>
    <phoneticPr fontId="3" type="noConversion"/>
  </si>
  <si>
    <t>豬肉</t>
    <phoneticPr fontId="3" type="noConversion"/>
  </si>
  <si>
    <t>炸</t>
    <phoneticPr fontId="3" type="noConversion"/>
  </si>
  <si>
    <t>青花炒魷魚</t>
    <phoneticPr fontId="3" type="noConversion"/>
  </si>
  <si>
    <t>醣類g：</t>
    <phoneticPr fontId="3" type="noConversion"/>
  </si>
  <si>
    <t>食物六大類</t>
    <phoneticPr fontId="3" type="noConversion"/>
  </si>
  <si>
    <t>三大營養素</t>
    <phoneticPr fontId="3" type="noConversion"/>
  </si>
  <si>
    <t>青花菜</t>
    <phoneticPr fontId="3" type="noConversion"/>
  </si>
  <si>
    <t>小白菜</t>
    <phoneticPr fontId="3" type="noConversion"/>
  </si>
  <si>
    <t>熱量</t>
    <phoneticPr fontId="3" type="noConversion"/>
  </si>
  <si>
    <t>腿排</t>
    <phoneticPr fontId="3" type="noConversion"/>
  </si>
  <si>
    <t>廢棄率</t>
    <phoneticPr fontId="3" type="noConversion"/>
  </si>
  <si>
    <t>白花椰</t>
    <phoneticPr fontId="3" type="noConversion"/>
  </si>
  <si>
    <t>脂肪g：</t>
    <phoneticPr fontId="3" type="noConversion"/>
  </si>
  <si>
    <t>份</t>
    <phoneticPr fontId="3" type="noConversion"/>
  </si>
  <si>
    <t>醣類</t>
    <phoneticPr fontId="3" type="noConversion"/>
  </si>
  <si>
    <t>g</t>
    <phoneticPr fontId="3" type="noConversion"/>
  </si>
  <si>
    <t>香菇</t>
    <phoneticPr fontId="3" type="noConversion"/>
  </si>
  <si>
    <t>紅K</t>
    <phoneticPr fontId="3" type="noConversion"/>
  </si>
  <si>
    <t>蔬菜類</t>
    <phoneticPr fontId="3" type="noConversion"/>
  </si>
  <si>
    <t>脂質</t>
    <phoneticPr fontId="3" type="noConversion"/>
  </si>
  <si>
    <t>蔬菜類</t>
    <phoneticPr fontId="3" type="noConversion"/>
  </si>
  <si>
    <t>脂質</t>
    <phoneticPr fontId="3" type="noConversion"/>
  </si>
  <si>
    <t>魷魚</t>
    <phoneticPr fontId="3" type="noConversion"/>
  </si>
  <si>
    <t>蛋白質g：</t>
    <phoneticPr fontId="3" type="noConversion"/>
  </si>
  <si>
    <t>水果類</t>
    <phoneticPr fontId="3" type="noConversion"/>
  </si>
  <si>
    <t>蛋白質</t>
    <phoneticPr fontId="3" type="noConversion"/>
  </si>
  <si>
    <t>星期三</t>
    <phoneticPr fontId="3" type="noConversion"/>
  </si>
  <si>
    <t>韭菜</t>
    <phoneticPr fontId="3" type="noConversion"/>
  </si>
  <si>
    <t>蜜汁里肌</t>
    <phoneticPr fontId="3" type="noConversion"/>
  </si>
  <si>
    <t>鮮瓜什錦</t>
    <phoneticPr fontId="3" type="noConversion"/>
  </si>
  <si>
    <t>里肌排</t>
    <phoneticPr fontId="3" type="noConversion"/>
  </si>
  <si>
    <t>豆干</t>
    <phoneticPr fontId="3" type="noConversion"/>
  </si>
  <si>
    <t>大黃瓜</t>
    <phoneticPr fontId="3" type="noConversion"/>
  </si>
  <si>
    <t>青江菜</t>
    <phoneticPr fontId="3" type="noConversion"/>
  </si>
  <si>
    <t>玉米粒</t>
    <phoneticPr fontId="3" type="noConversion"/>
  </si>
  <si>
    <t>白米</t>
    <phoneticPr fontId="3" type="noConversion"/>
  </si>
  <si>
    <t>%</t>
    <phoneticPr fontId="3" type="noConversion"/>
  </si>
  <si>
    <t>米血</t>
    <phoneticPr fontId="3" type="noConversion"/>
  </si>
  <si>
    <t>洋芋</t>
    <phoneticPr fontId="3" type="noConversion"/>
  </si>
  <si>
    <t>小米</t>
    <phoneticPr fontId="3" type="noConversion"/>
  </si>
  <si>
    <t>脂肪g：</t>
    <phoneticPr fontId="3" type="noConversion"/>
  </si>
  <si>
    <t>醣類</t>
    <phoneticPr fontId="3" type="noConversion"/>
  </si>
  <si>
    <t>紅蘿蔔</t>
    <phoneticPr fontId="3" type="noConversion"/>
  </si>
  <si>
    <t>芝麻</t>
    <phoneticPr fontId="3" type="noConversion"/>
  </si>
  <si>
    <t>杏鮑菇</t>
    <phoneticPr fontId="3" type="noConversion"/>
  </si>
  <si>
    <t>金針菇</t>
    <phoneticPr fontId="3" type="noConversion"/>
  </si>
  <si>
    <t>香菇</t>
    <phoneticPr fontId="3" type="noConversion"/>
  </si>
  <si>
    <t>星期四</t>
    <phoneticPr fontId="3" type="noConversion"/>
  </si>
  <si>
    <t>九層塔</t>
    <phoneticPr fontId="3" type="noConversion"/>
  </si>
  <si>
    <t>液蛋</t>
    <phoneticPr fontId="3" type="noConversion"/>
  </si>
  <si>
    <t>洋芋肉燥</t>
    <phoneticPr fontId="3" type="noConversion"/>
  </si>
  <si>
    <t>彩繪海雲吞</t>
    <phoneticPr fontId="3" type="noConversion"/>
  </si>
  <si>
    <t>日式味噌湯</t>
    <phoneticPr fontId="3" type="noConversion"/>
  </si>
  <si>
    <t>雞丁</t>
    <phoneticPr fontId="3" type="noConversion"/>
  </si>
  <si>
    <t>水餃皮</t>
    <phoneticPr fontId="3" type="noConversion"/>
  </si>
  <si>
    <t>鵝白菜</t>
    <phoneticPr fontId="3" type="noConversion"/>
  </si>
  <si>
    <t>板豆腐</t>
    <phoneticPr fontId="3" type="noConversion"/>
  </si>
  <si>
    <t>絞肉</t>
    <phoneticPr fontId="3" type="noConversion"/>
  </si>
  <si>
    <t>鳳梨</t>
    <phoneticPr fontId="3" type="noConversion"/>
  </si>
  <si>
    <t>豆芽菜</t>
    <phoneticPr fontId="3" type="noConversion"/>
  </si>
  <si>
    <t>海芽</t>
    <phoneticPr fontId="3" type="noConversion"/>
  </si>
  <si>
    <t>青蔥</t>
    <phoneticPr fontId="3" type="noConversion"/>
  </si>
  <si>
    <t>星期五</t>
    <phoneticPr fontId="3" type="noConversion"/>
  </si>
  <si>
    <t>毛豆仁</t>
    <phoneticPr fontId="3" type="noConversion"/>
  </si>
  <si>
    <t>1人1餐份數*____餐</t>
    <phoneticPr fontId="3" type="noConversion"/>
  </si>
  <si>
    <t>菜單開立均是以可食量(EP)計算</t>
    <phoneticPr fontId="3" type="noConversion"/>
  </si>
  <si>
    <t>每週一、三、五提供深綠色蔬菜 (有機蔬菜菜名需待前一週農民告知)</t>
    <phoneticPr fontId="3" type="noConversion"/>
  </si>
  <si>
    <t>全面使用非基改豆製品</t>
    <phoneticPr fontId="3" type="noConversion"/>
  </si>
  <si>
    <t>水果若是香蕉為2份；蘋果、芭樂、橘子為1份；小番茄、葡萄等為0.3份(水果需待前一週廠商告知)</t>
    <phoneticPr fontId="3" type="noConversion"/>
  </si>
  <si>
    <t>日期</t>
    <phoneticPr fontId="3" type="noConversion"/>
  </si>
  <si>
    <t>主菜</t>
    <phoneticPr fontId="3" type="noConversion"/>
  </si>
  <si>
    <t>重量(g)</t>
    <phoneticPr fontId="3" type="noConversion"/>
  </si>
  <si>
    <t>副菜</t>
    <phoneticPr fontId="3" type="noConversion"/>
  </si>
  <si>
    <t>青菜</t>
    <phoneticPr fontId="3" type="noConversion"/>
  </si>
  <si>
    <t>湯</t>
    <phoneticPr fontId="3" type="noConversion"/>
  </si>
  <si>
    <t>主食</t>
    <phoneticPr fontId="3" type="noConversion"/>
  </si>
  <si>
    <t xml:space="preserve">營養分析 </t>
    <phoneticPr fontId="3" type="noConversion"/>
  </si>
  <si>
    <t>營養分析</t>
    <phoneticPr fontId="3" type="noConversion"/>
  </si>
  <si>
    <t>鮮蔬火鍋</t>
    <phoneticPr fontId="3" type="noConversion"/>
  </si>
  <si>
    <t>塔香百頁</t>
    <phoneticPr fontId="3" type="noConversion"/>
  </si>
  <si>
    <t>紫菜蛋花湯</t>
    <phoneticPr fontId="3" type="noConversion"/>
  </si>
  <si>
    <t>高麗菜</t>
    <phoneticPr fontId="3" type="noConversion"/>
  </si>
  <si>
    <t>百頁</t>
    <phoneticPr fontId="3" type="noConversion"/>
  </si>
  <si>
    <t>油菜</t>
    <phoneticPr fontId="3" type="noConversion"/>
  </si>
  <si>
    <t>紫菜</t>
    <phoneticPr fontId="3" type="noConversion"/>
  </si>
  <si>
    <t>肉片</t>
    <phoneticPr fontId="3" type="noConversion"/>
  </si>
  <si>
    <t>馬鈴薯</t>
    <phoneticPr fontId="3" type="noConversion"/>
  </si>
  <si>
    <t>薑</t>
    <phoneticPr fontId="3" type="noConversion"/>
  </si>
  <si>
    <t>豆干丁</t>
    <phoneticPr fontId="3" type="noConversion"/>
  </si>
  <si>
    <t>蔗香雞翅</t>
    <phoneticPr fontId="3" type="noConversion"/>
  </si>
  <si>
    <t>紅仁炒蛋</t>
    <phoneticPr fontId="3" type="noConversion"/>
  </si>
  <si>
    <t>台北蘿蔔燒</t>
    <phoneticPr fontId="3" type="noConversion"/>
  </si>
  <si>
    <t>卡啦腿排</t>
    <phoneticPr fontId="3" type="noConversion"/>
  </si>
  <si>
    <t>雞腿</t>
    <phoneticPr fontId="3" type="noConversion"/>
  </si>
  <si>
    <t>液蛋</t>
    <phoneticPr fontId="3" type="noConversion"/>
  </si>
  <si>
    <t>白蘿蔔</t>
    <phoneticPr fontId="3" type="noConversion"/>
  </si>
  <si>
    <t>小白菜</t>
    <phoneticPr fontId="3" type="noConversion"/>
  </si>
  <si>
    <t>大黃瓜</t>
    <phoneticPr fontId="3" type="noConversion"/>
  </si>
  <si>
    <t>水晶餃</t>
    <phoneticPr fontId="3" type="noConversion"/>
  </si>
  <si>
    <t>排骨</t>
    <phoneticPr fontId="3" type="noConversion"/>
  </si>
  <si>
    <t>燕麥</t>
    <phoneticPr fontId="3" type="noConversion"/>
  </si>
  <si>
    <t>青蔥</t>
    <phoneticPr fontId="11" type="noConversion"/>
  </si>
  <si>
    <t>玉米</t>
    <phoneticPr fontId="3" type="noConversion"/>
  </si>
  <si>
    <t>星期二</t>
    <phoneticPr fontId="3" type="noConversion"/>
  </si>
  <si>
    <t>酸菜</t>
    <phoneticPr fontId="3" type="noConversion"/>
  </si>
  <si>
    <t>玉米肉末</t>
    <phoneticPr fontId="3" type="noConversion"/>
  </si>
  <si>
    <t>小瓜魚輪</t>
    <phoneticPr fontId="3" type="noConversion"/>
  </si>
  <si>
    <t>日式炸豬排</t>
    <phoneticPr fontId="3" type="noConversion"/>
  </si>
  <si>
    <t>小黃瓜</t>
    <phoneticPr fontId="3" type="noConversion"/>
  </si>
  <si>
    <t>豬排</t>
    <phoneticPr fontId="3" type="noConversion"/>
  </si>
  <si>
    <t>洋地瓜</t>
    <phoneticPr fontId="11" type="noConversion"/>
  </si>
  <si>
    <t>魚輪</t>
    <phoneticPr fontId="3" type="noConversion"/>
  </si>
  <si>
    <t>星期三</t>
    <phoneticPr fontId="3" type="noConversion"/>
  </si>
  <si>
    <t>蒜香雞腿</t>
    <phoneticPr fontId="3" type="noConversion"/>
  </si>
  <si>
    <t>五更豆腐</t>
    <phoneticPr fontId="3" type="noConversion"/>
  </si>
  <si>
    <t>肉骨茶湯</t>
    <phoneticPr fontId="3" type="noConversion"/>
  </si>
  <si>
    <t>雞腿</t>
    <phoneticPr fontId="3" type="noConversion"/>
  </si>
  <si>
    <t>板豆腐</t>
    <phoneticPr fontId="3" type="noConversion"/>
  </si>
  <si>
    <t>白花椰</t>
    <phoneticPr fontId="3" type="noConversion"/>
  </si>
  <si>
    <t>鵝白菜</t>
    <phoneticPr fontId="3" type="noConversion"/>
  </si>
  <si>
    <t>白K</t>
    <phoneticPr fontId="3" type="noConversion"/>
  </si>
  <si>
    <t>豬血丁</t>
    <phoneticPr fontId="3" type="noConversion"/>
  </si>
  <si>
    <t>青花菜</t>
    <phoneticPr fontId="3" type="noConversion"/>
  </si>
  <si>
    <t>肉骨茶包</t>
    <phoneticPr fontId="3" type="noConversion"/>
  </si>
  <si>
    <t>適量</t>
    <phoneticPr fontId="3" type="noConversion"/>
  </si>
  <si>
    <t>木耳</t>
    <phoneticPr fontId="3" type="noConversion"/>
  </si>
  <si>
    <t>杏菇豬排</t>
    <phoneticPr fontId="3" type="noConversion"/>
  </si>
  <si>
    <t>奶香白菜</t>
    <phoneticPr fontId="3" type="noConversion"/>
  </si>
  <si>
    <t>柴香花枝丸</t>
    <phoneticPr fontId="3" type="noConversion"/>
  </si>
  <si>
    <t>茶壺雞湯</t>
    <phoneticPr fontId="3" type="noConversion"/>
  </si>
  <si>
    <t>大白菜</t>
    <phoneticPr fontId="3" type="noConversion"/>
  </si>
  <si>
    <t>花枝丸</t>
    <phoneticPr fontId="3" type="noConversion"/>
  </si>
  <si>
    <t>竹筍</t>
    <phoneticPr fontId="3" type="noConversion"/>
  </si>
  <si>
    <t>柴魚片</t>
    <phoneticPr fontId="3" type="noConversion"/>
  </si>
  <si>
    <t>螺旋麵</t>
    <phoneticPr fontId="3" type="noConversion"/>
  </si>
  <si>
    <t>雞丁</t>
    <phoneticPr fontId="3" type="noConversion"/>
  </si>
  <si>
    <t>每週一、三、五提供深綠色蔬菜 (有機蔬菜菜名需待前一週農民告知)</t>
    <phoneticPr fontId="3" type="noConversion"/>
  </si>
  <si>
    <t>全面使用非基改豆製品</t>
    <phoneticPr fontId="3" type="noConversion"/>
  </si>
  <si>
    <t>水果若是香蕉為2份；蘋果、芭樂、橘子為1份；小番茄、葡萄等為0.3份(水果需待前一週廠商告知)</t>
    <phoneticPr fontId="3" type="noConversion"/>
  </si>
  <si>
    <t>蜜汁豆干</t>
    <phoneticPr fontId="3" type="noConversion"/>
  </si>
  <si>
    <t>葫瓜什錦</t>
    <phoneticPr fontId="3" type="noConversion"/>
  </si>
  <si>
    <t>古早味米粉湯</t>
    <phoneticPr fontId="3" type="noConversion"/>
  </si>
  <si>
    <t>鳳梨咕咾肉</t>
    <phoneticPr fontId="3" type="noConversion"/>
  </si>
  <si>
    <t>蛋液</t>
    <phoneticPr fontId="3" type="noConversion"/>
  </si>
  <si>
    <t>蒲瓜</t>
    <phoneticPr fontId="3" type="noConversion"/>
  </si>
  <si>
    <t>空心菜</t>
    <phoneticPr fontId="3" type="noConversion"/>
  </si>
  <si>
    <t>芋頭</t>
    <phoneticPr fontId="3" type="noConversion"/>
  </si>
  <si>
    <t>肉丁</t>
    <phoneticPr fontId="3" type="noConversion"/>
  </si>
  <si>
    <t>白芝麻</t>
    <phoneticPr fontId="3" type="noConversion"/>
  </si>
  <si>
    <t>米粉</t>
    <phoneticPr fontId="3" type="noConversion"/>
  </si>
  <si>
    <t>魚板絲</t>
    <phoneticPr fontId="3" type="noConversion"/>
  </si>
  <si>
    <t>三杯雞</t>
    <phoneticPr fontId="3" type="noConversion"/>
  </si>
  <si>
    <t>太祖白菜</t>
    <phoneticPr fontId="3" type="noConversion"/>
  </si>
  <si>
    <t>玉筍花椰</t>
    <phoneticPr fontId="3" type="noConversion"/>
  </si>
  <si>
    <t>玉米蛋花湯</t>
    <phoneticPr fontId="3" type="noConversion"/>
  </si>
  <si>
    <t>燕麥飯</t>
    <phoneticPr fontId="3" type="noConversion"/>
  </si>
  <si>
    <t>轟炸雞腿</t>
    <phoneticPr fontId="3" type="noConversion"/>
  </si>
  <si>
    <t>白花菜</t>
    <phoneticPr fontId="3" type="noConversion"/>
  </si>
  <si>
    <t>肉羹</t>
    <phoneticPr fontId="3" type="noConversion"/>
  </si>
  <si>
    <t>玉米筍</t>
    <phoneticPr fontId="3" type="noConversion"/>
  </si>
  <si>
    <t>薑絲</t>
    <phoneticPr fontId="3" type="noConversion"/>
  </si>
  <si>
    <t>豆包</t>
    <phoneticPr fontId="3" type="noConversion"/>
  </si>
  <si>
    <t>木耳絲</t>
    <phoneticPr fontId="3" type="noConversion"/>
  </si>
  <si>
    <t>燒烤雞翅</t>
    <phoneticPr fontId="3" type="noConversion"/>
  </si>
  <si>
    <t>咖哩肉丸</t>
    <phoneticPr fontId="3" type="noConversion"/>
  </si>
  <si>
    <t>海帶三絲</t>
    <phoneticPr fontId="3" type="noConversion"/>
  </si>
  <si>
    <t>筍片排骨湯</t>
    <phoneticPr fontId="3" type="noConversion"/>
  </si>
  <si>
    <t>雞翅</t>
    <phoneticPr fontId="3" type="noConversion"/>
  </si>
  <si>
    <t>海帶絲</t>
    <phoneticPr fontId="3" type="noConversion"/>
  </si>
  <si>
    <t>小白菜</t>
    <phoneticPr fontId="3" type="noConversion"/>
  </si>
  <si>
    <t>豆干絲</t>
    <phoneticPr fontId="3" type="noConversion"/>
  </si>
  <si>
    <t>芹菜</t>
    <phoneticPr fontId="3" type="noConversion"/>
  </si>
  <si>
    <t>芋香五彩</t>
    <phoneticPr fontId="3" type="noConversion"/>
  </si>
  <si>
    <t>冬瓜雞湯</t>
    <phoneticPr fontId="3" type="noConversion"/>
  </si>
  <si>
    <t>豆薯</t>
    <phoneticPr fontId="3" type="noConversion"/>
  </si>
  <si>
    <t>冬瓜</t>
    <phoneticPr fontId="3" type="noConversion"/>
  </si>
  <si>
    <t>麵疙瘩</t>
    <phoneticPr fontId="3" type="noConversion"/>
  </si>
  <si>
    <t>蝦皮</t>
    <phoneticPr fontId="3" type="noConversion"/>
  </si>
  <si>
    <t>香菇白菜滷</t>
    <phoneticPr fontId="3" type="noConversion"/>
  </si>
  <si>
    <t>金茸三絲湯</t>
    <phoneticPr fontId="3" type="noConversion"/>
  </si>
  <si>
    <t>蔥燒雞腿</t>
    <phoneticPr fontId="3" type="noConversion"/>
  </si>
  <si>
    <t>日式蒸蛋</t>
    <phoneticPr fontId="3" type="noConversion"/>
  </si>
  <si>
    <t>紅K末</t>
    <phoneticPr fontId="3" type="noConversion"/>
  </si>
  <si>
    <t>薑燒肉片</t>
    <phoneticPr fontId="3" type="noConversion"/>
  </si>
  <si>
    <t>家常冬粉</t>
    <phoneticPr fontId="3" type="noConversion"/>
  </si>
  <si>
    <t>秋分養生湯</t>
    <phoneticPr fontId="3" type="noConversion"/>
  </si>
  <si>
    <t>豬肉片</t>
    <phoneticPr fontId="3" type="noConversion"/>
  </si>
  <si>
    <t>翅小腿</t>
    <phoneticPr fontId="3" type="noConversion"/>
  </si>
  <si>
    <t>冬粉</t>
    <phoneticPr fontId="3" type="noConversion"/>
  </si>
  <si>
    <t>蘿蔔</t>
    <phoneticPr fontId="3" type="noConversion"/>
  </si>
  <si>
    <t>小烏龍</t>
    <phoneticPr fontId="3" type="noConversion"/>
  </si>
  <si>
    <t>四季豆</t>
    <phoneticPr fontId="3" type="noConversion"/>
  </si>
  <si>
    <t>南瓜</t>
    <phoneticPr fontId="3" type="noConversion"/>
  </si>
  <si>
    <t>大滷桶</t>
    <phoneticPr fontId="3" type="noConversion"/>
  </si>
  <si>
    <t>味噌肉片高麗</t>
    <phoneticPr fontId="3" type="noConversion"/>
  </si>
  <si>
    <t>香雞排</t>
    <phoneticPr fontId="3" type="noConversion"/>
  </si>
  <si>
    <t>雞排</t>
    <phoneticPr fontId="3" type="noConversion"/>
  </si>
  <si>
    <t>岩燒里肌</t>
    <phoneticPr fontId="3" type="noConversion"/>
  </si>
  <si>
    <t>八寶肉醬</t>
    <phoneticPr fontId="3" type="noConversion"/>
  </si>
  <si>
    <t>鮮魷拌雙花</t>
    <phoneticPr fontId="3" type="noConversion"/>
  </si>
  <si>
    <t>紫菜蛋花湯</t>
    <phoneticPr fontId="3" type="noConversion"/>
  </si>
  <si>
    <t>魷魚</t>
    <phoneticPr fontId="3" type="noConversion"/>
  </si>
  <si>
    <t>春川雞丁</t>
    <phoneticPr fontId="3" type="noConversion"/>
  </si>
  <si>
    <t>玉米炒蛋</t>
    <phoneticPr fontId="3" type="noConversion"/>
  </si>
  <si>
    <t>肉燥海根</t>
    <phoneticPr fontId="3" type="noConversion"/>
  </si>
  <si>
    <t>綜合豬血湯</t>
    <phoneticPr fontId="3" type="noConversion"/>
  </si>
  <si>
    <t>海帶根</t>
    <phoneticPr fontId="3" type="noConversion"/>
  </si>
  <si>
    <t>豬血</t>
    <phoneticPr fontId="3" type="noConversion"/>
  </si>
  <si>
    <t>年糕</t>
    <phoneticPr fontId="3" type="noConversion"/>
  </si>
  <si>
    <t>星期五</t>
    <phoneticPr fontId="3" type="noConversion"/>
  </si>
  <si>
    <t>熱量kcal：</t>
    <phoneticPr fontId="3" type="noConversion"/>
  </si>
  <si>
    <t>油脂與堅果種子類</t>
    <phoneticPr fontId="3" type="noConversion"/>
  </si>
  <si>
    <t>煮</t>
    <phoneticPr fontId="3" type="noConversion"/>
  </si>
  <si>
    <t>炒</t>
    <phoneticPr fontId="3" type="noConversion"/>
  </si>
  <si>
    <t>滷</t>
    <phoneticPr fontId="3" type="noConversion"/>
  </si>
  <si>
    <t>燙</t>
    <phoneticPr fontId="3" type="noConversion"/>
  </si>
  <si>
    <t>食材總熱量</t>
    <phoneticPr fontId="3" type="noConversion"/>
  </si>
  <si>
    <t>食材總熱量</t>
    <phoneticPr fontId="3" type="noConversion"/>
  </si>
  <si>
    <t>Kcal</t>
    <phoneticPr fontId="3" type="noConversion"/>
  </si>
  <si>
    <t>可樂豬腳</t>
    <phoneticPr fontId="3" type="noConversion"/>
  </si>
  <si>
    <t>鮮瓜燴鴿蛋</t>
    <phoneticPr fontId="3" type="noConversion"/>
  </si>
  <si>
    <t>紅燒獅子頭</t>
    <phoneticPr fontId="3" type="noConversion"/>
  </si>
  <si>
    <t>海芽味噌湯</t>
    <phoneticPr fontId="3" type="noConversion"/>
  </si>
  <si>
    <t>香Q白飯</t>
    <phoneticPr fontId="3" type="noConversion"/>
  </si>
  <si>
    <t>食物六大類</t>
    <phoneticPr fontId="3" type="noConversion"/>
  </si>
  <si>
    <t>三大營養素</t>
    <phoneticPr fontId="3" type="noConversion"/>
  </si>
  <si>
    <t>肉角</t>
    <phoneticPr fontId="3" type="noConversion"/>
  </si>
  <si>
    <t>瓠瓜</t>
    <phoneticPr fontId="3" type="noConversion"/>
  </si>
  <si>
    <t>絞肉</t>
    <phoneticPr fontId="3" type="noConversion"/>
  </si>
  <si>
    <t>青江菜</t>
    <phoneticPr fontId="3" type="noConversion"/>
  </si>
  <si>
    <t>豆腐</t>
    <phoneticPr fontId="3" type="noConversion"/>
  </si>
  <si>
    <t>豬腳</t>
    <phoneticPr fontId="3" type="noConversion"/>
  </si>
  <si>
    <t>洋蔥</t>
    <phoneticPr fontId="3" type="noConversion"/>
  </si>
  <si>
    <t>脂肪g：</t>
    <phoneticPr fontId="3" type="noConversion"/>
  </si>
  <si>
    <t>醣類</t>
    <phoneticPr fontId="3" type="noConversion"/>
  </si>
  <si>
    <t>廢棄率</t>
    <phoneticPr fontId="3" type="noConversion"/>
  </si>
  <si>
    <t>鴿蛋</t>
    <phoneticPr fontId="3" type="noConversion"/>
  </si>
  <si>
    <t>柴魚片</t>
    <phoneticPr fontId="3" type="noConversion"/>
  </si>
  <si>
    <t>蔬菜類</t>
    <phoneticPr fontId="3" type="noConversion"/>
  </si>
  <si>
    <t>脂質</t>
    <phoneticPr fontId="3" type="noConversion"/>
  </si>
  <si>
    <t>木耳</t>
    <phoneticPr fontId="3" type="noConversion"/>
  </si>
  <si>
    <t>海帶芽</t>
    <phoneticPr fontId="3" type="noConversion"/>
  </si>
  <si>
    <t>星期六</t>
    <phoneticPr fontId="3" type="noConversion"/>
  </si>
  <si>
    <t>鮮菇</t>
    <phoneticPr fontId="3" type="noConversion"/>
  </si>
  <si>
    <t>熱量kcal：</t>
    <phoneticPr fontId="3" type="noConversion"/>
  </si>
  <si>
    <t>油脂與堅果種子類</t>
    <phoneticPr fontId="3" type="noConversion"/>
  </si>
  <si>
    <t>滷</t>
    <phoneticPr fontId="3" type="noConversion"/>
  </si>
  <si>
    <t>煮</t>
    <phoneticPr fontId="3" type="noConversion"/>
  </si>
  <si>
    <t>燴</t>
    <phoneticPr fontId="3" type="noConversion"/>
  </si>
  <si>
    <t>燙</t>
    <phoneticPr fontId="3" type="noConversion"/>
  </si>
  <si>
    <t>蒸</t>
    <phoneticPr fontId="3" type="noConversion"/>
  </si>
  <si>
    <t>1人1餐份數*____餐</t>
    <phoneticPr fontId="3" type="noConversion"/>
  </si>
  <si>
    <t>菜單開立均是以可食量(EP)計算</t>
    <phoneticPr fontId="3" type="noConversion"/>
  </si>
  <si>
    <r>
      <rPr>
        <sz val="16"/>
        <rFont val="新細明體"/>
        <family val="1"/>
        <charset val="136"/>
      </rPr>
      <t>9月份午餐食材明細+營養分析</t>
    </r>
    <r>
      <rPr>
        <sz val="12"/>
        <rFont val="新細明體"/>
        <family val="1"/>
        <charset val="136"/>
      </rPr>
      <t xml:space="preserve">                   貝佳【第5週】</t>
    </r>
    <phoneticPr fontId="3" type="noConversion"/>
  </si>
  <si>
    <t>肉燥油腐</t>
    <phoneticPr fontId="3" type="noConversion"/>
  </si>
  <si>
    <t>菇菇高麗菜</t>
    <phoneticPr fontId="3" type="noConversion"/>
  </si>
  <si>
    <t>南瓜濃湯</t>
    <phoneticPr fontId="3" type="noConversion"/>
  </si>
  <si>
    <t>%</t>
    <phoneticPr fontId="3" type="noConversion"/>
  </si>
  <si>
    <t>BBQ烤雞翅</t>
    <phoneticPr fontId="3" type="noConversion"/>
  </si>
  <si>
    <t>油豆腐</t>
    <phoneticPr fontId="3" type="noConversion"/>
  </si>
  <si>
    <t>南瓜</t>
    <phoneticPr fontId="3" type="noConversion"/>
  </si>
  <si>
    <t>雞翅</t>
    <phoneticPr fontId="3" type="noConversion"/>
  </si>
  <si>
    <t>洋芋</t>
    <phoneticPr fontId="3" type="noConversion"/>
  </si>
  <si>
    <t>紅K</t>
    <phoneticPr fontId="11" type="noConversion"/>
  </si>
  <si>
    <t>星期一</t>
    <phoneticPr fontId="3" type="noConversion"/>
  </si>
  <si>
    <t>金針菇</t>
    <phoneticPr fontId="3" type="noConversion"/>
  </si>
  <si>
    <t>鳳梨燉雞</t>
    <phoneticPr fontId="3" type="noConversion"/>
  </si>
  <si>
    <t>黃瓜肉羹</t>
    <phoneticPr fontId="3" type="noConversion"/>
  </si>
  <si>
    <t>雙菇蛋花湯</t>
    <phoneticPr fontId="3" type="noConversion"/>
  </si>
  <si>
    <t>甜不辣</t>
    <phoneticPr fontId="3" type="noConversion"/>
  </si>
  <si>
    <t>燉煮</t>
    <phoneticPr fontId="3" type="noConversion"/>
  </si>
  <si>
    <t>Kcal</t>
    <phoneticPr fontId="3" type="noConversion"/>
  </si>
  <si>
    <t>脂肪g：</t>
    <phoneticPr fontId="3" type="noConversion"/>
  </si>
  <si>
    <t>份</t>
    <phoneticPr fontId="3" type="noConversion"/>
  </si>
  <si>
    <t>醣類</t>
    <phoneticPr fontId="3" type="noConversion"/>
  </si>
  <si>
    <t>g</t>
    <phoneticPr fontId="3" type="noConversion"/>
  </si>
  <si>
    <t>蔬菜類</t>
    <phoneticPr fontId="3" type="noConversion"/>
  </si>
  <si>
    <t>份</t>
    <phoneticPr fontId="3" type="noConversion"/>
  </si>
  <si>
    <t>脂質</t>
    <phoneticPr fontId="3" type="noConversion"/>
  </si>
  <si>
    <t>g</t>
    <phoneticPr fontId="3" type="noConversion"/>
  </si>
  <si>
    <t>蛋白質g：</t>
    <phoneticPr fontId="3" type="noConversion"/>
  </si>
  <si>
    <t>水果類</t>
    <phoneticPr fontId="3" type="noConversion"/>
  </si>
  <si>
    <t>蛋白質</t>
    <phoneticPr fontId="3" type="noConversion"/>
  </si>
  <si>
    <t>星期五</t>
    <phoneticPr fontId="3" type="noConversion"/>
  </si>
  <si>
    <t>食材總熱量</t>
    <phoneticPr fontId="3" type="noConversion"/>
  </si>
  <si>
    <t>Kcal</t>
    <phoneticPr fontId="3" type="noConversion"/>
  </si>
  <si>
    <r>
      <rPr>
        <sz val="16"/>
        <rFont val="新細明體"/>
        <family val="1"/>
        <charset val="136"/>
      </rPr>
      <t>9月份午餐食材明細+營養分析</t>
    </r>
    <r>
      <rPr>
        <sz val="12"/>
        <rFont val="新細明體"/>
        <family val="1"/>
        <charset val="136"/>
      </rPr>
      <t xml:space="preserve">                   貝佳【第２週】</t>
    </r>
    <phoneticPr fontId="3" type="noConversion"/>
  </si>
  <si>
    <r>
      <rPr>
        <sz val="16"/>
        <rFont val="新細明體"/>
        <family val="1"/>
        <charset val="136"/>
      </rPr>
      <t>9月份午餐食材明細+營養分析</t>
    </r>
    <r>
      <rPr>
        <sz val="12"/>
        <rFont val="新細明體"/>
        <family val="1"/>
        <charset val="136"/>
      </rPr>
      <t xml:space="preserve">                   貝佳【第３週】</t>
    </r>
    <phoneticPr fontId="3" type="noConversion"/>
  </si>
  <si>
    <r>
      <rPr>
        <sz val="16"/>
        <rFont val="新細明體"/>
        <family val="1"/>
        <charset val="136"/>
      </rPr>
      <t>9月份午餐食材明細+營養分析</t>
    </r>
    <r>
      <rPr>
        <sz val="12"/>
        <rFont val="新細明體"/>
        <family val="1"/>
        <charset val="136"/>
      </rPr>
      <t xml:space="preserve">                   貝佳【第４週】</t>
    </r>
    <phoneticPr fontId="3" type="noConversion"/>
  </si>
  <si>
    <r>
      <rPr>
        <sz val="16"/>
        <rFont val="新細明體"/>
        <family val="1"/>
        <charset val="136"/>
      </rPr>
      <t>9月份午餐食材明細+營養分析</t>
    </r>
    <r>
      <rPr>
        <sz val="12"/>
        <rFont val="新細明體"/>
        <family val="1"/>
        <charset val="136"/>
      </rPr>
      <t xml:space="preserve">                   貝佳【第５週】</t>
    </r>
    <phoneticPr fontId="3" type="noConversion"/>
  </si>
  <si>
    <t>香滷雞腿</t>
    <phoneticPr fontId="3" type="noConversion"/>
  </si>
  <si>
    <t>雞腿</t>
    <phoneticPr fontId="3" type="noConversion"/>
  </si>
  <si>
    <t>廢棄率</t>
    <phoneticPr fontId="3" type="noConversion"/>
  </si>
  <si>
    <t>滷</t>
    <phoneticPr fontId="3" type="noConversion"/>
  </si>
  <si>
    <t>冬瓜排骨湯</t>
    <phoneticPr fontId="3" type="noConversion"/>
  </si>
  <si>
    <t>排骨</t>
    <phoneticPr fontId="3" type="noConversion"/>
  </si>
  <si>
    <t>蛋酥炒高麗</t>
    <phoneticPr fontId="3" type="noConversion"/>
  </si>
  <si>
    <t>蛋液</t>
    <phoneticPr fontId="3" type="noConversion"/>
  </si>
  <si>
    <t>香鬆炒飯</t>
    <phoneticPr fontId="3" type="noConversion"/>
  </si>
  <si>
    <t>炸</t>
    <phoneticPr fontId="3" type="noConversion"/>
  </si>
  <si>
    <t>大理石麵包</t>
    <phoneticPr fontId="3" type="noConversion"/>
  </si>
  <si>
    <t>烤</t>
    <phoneticPr fontId="3" type="noConversion"/>
  </si>
  <si>
    <t>仙草奶茶</t>
    <phoneticPr fontId="3" type="noConversion"/>
  </si>
  <si>
    <t>仙草</t>
    <phoneticPr fontId="3" type="noConversion"/>
  </si>
  <si>
    <t>奶粉</t>
    <phoneticPr fontId="3" type="noConversion"/>
  </si>
  <si>
    <t>玉米鮮蔬湯</t>
    <phoneticPr fontId="3" type="noConversion"/>
  </si>
  <si>
    <t>黃瓜排骨湯</t>
    <phoneticPr fontId="3" type="noConversion"/>
  </si>
  <si>
    <t>冬瓜山粉圓</t>
    <phoneticPr fontId="3" type="noConversion"/>
  </si>
  <si>
    <t>山粉圓</t>
    <phoneticPr fontId="3" type="noConversion"/>
  </si>
  <si>
    <t>冬瓜塊</t>
    <phoneticPr fontId="3" type="noConversion"/>
  </si>
  <si>
    <t>日式炒烏龍</t>
    <phoneticPr fontId="3" type="noConversion"/>
  </si>
  <si>
    <t>鐵板高麗</t>
    <phoneticPr fontId="3" type="noConversion"/>
  </si>
  <si>
    <t>高麗菜</t>
    <phoneticPr fontId="3" type="noConversion"/>
  </si>
  <si>
    <t>豆芽菜</t>
    <phoneticPr fontId="3" type="noConversion"/>
  </si>
  <si>
    <t>珍珠豆沙包</t>
    <phoneticPr fontId="3" type="noConversion"/>
  </si>
  <si>
    <t>蒸</t>
    <phoneticPr fontId="3" type="noConversion"/>
  </si>
  <si>
    <t>地瓜圓奶茶</t>
    <phoneticPr fontId="3" type="noConversion"/>
  </si>
  <si>
    <t>地瓜圓</t>
    <phoneticPr fontId="3" type="noConversion"/>
  </si>
  <si>
    <t>蔥燒肉排</t>
    <phoneticPr fontId="3" type="noConversion"/>
  </si>
  <si>
    <t>里肌肉</t>
    <phoneticPr fontId="3" type="noConversion"/>
  </si>
  <si>
    <t>蜜汁翅小腿</t>
    <phoneticPr fontId="3" type="noConversion"/>
  </si>
  <si>
    <t>仙草冬瓜茶</t>
    <phoneticPr fontId="3" type="noConversion"/>
  </si>
  <si>
    <t>四季甜條</t>
    <phoneticPr fontId="3" type="noConversion"/>
  </si>
  <si>
    <t>咖哩炒飯</t>
    <phoneticPr fontId="3" type="noConversion"/>
  </si>
  <si>
    <t>鮮魚排</t>
    <phoneticPr fontId="3" type="noConversion"/>
  </si>
  <si>
    <t>鮮蔬炒菇</t>
    <phoneticPr fontId="3" type="noConversion"/>
  </si>
  <si>
    <t>杏鮑菇</t>
    <phoneticPr fontId="3" type="noConversion"/>
  </si>
  <si>
    <t>珍珠紅茶</t>
    <phoneticPr fontId="3" type="noConversion"/>
  </si>
  <si>
    <t>珍珠</t>
    <phoneticPr fontId="3" type="noConversion"/>
  </si>
  <si>
    <t>白米</t>
    <phoneticPr fontId="3" type="noConversion"/>
  </si>
  <si>
    <t>玉米</t>
    <phoneticPr fontId="3" type="noConversion"/>
  </si>
  <si>
    <t>紅蘿蔔</t>
    <phoneticPr fontId="3" type="noConversion"/>
  </si>
  <si>
    <t>豬肉</t>
    <phoneticPr fontId="3" type="noConversion"/>
  </si>
  <si>
    <t>油腐</t>
    <phoneticPr fontId="3" type="noConversion"/>
  </si>
  <si>
    <t>海帶結</t>
    <phoneticPr fontId="3" type="noConversion"/>
  </si>
  <si>
    <t>玉米段</t>
    <phoneticPr fontId="3" type="noConversion"/>
  </si>
  <si>
    <t>酸菜絲</t>
    <phoneticPr fontId="3" type="noConversion"/>
  </si>
  <si>
    <t>洋蔥</t>
    <phoneticPr fontId="3" type="noConversion"/>
  </si>
  <si>
    <t>香鬆</t>
    <phoneticPr fontId="3" type="noConversion"/>
  </si>
  <si>
    <t>醬燒肉片</t>
    <phoneticPr fontId="3" type="noConversion"/>
  </si>
  <si>
    <t>牛角可頌</t>
    <phoneticPr fontId="3" type="noConversion"/>
  </si>
  <si>
    <t>紅茶包</t>
    <phoneticPr fontId="3" type="noConversion"/>
  </si>
  <si>
    <t>適量</t>
    <phoneticPr fontId="3" type="noConversion"/>
  </si>
  <si>
    <t>咖哩粉</t>
    <phoneticPr fontId="3" type="noConversion"/>
  </si>
  <si>
    <t>水鯊魚片</t>
    <phoneticPr fontId="3" type="noConversion"/>
  </si>
  <si>
    <t>脂肪g：</t>
    <phoneticPr fontId="3" type="noConversion"/>
  </si>
  <si>
    <t>豚片拌白花</t>
    <phoneticPr fontId="3" type="noConversion"/>
  </si>
  <si>
    <t>椒鹽魚排</t>
    <phoneticPr fontId="3" type="noConversion"/>
  </si>
  <si>
    <t>DHA魚排</t>
    <phoneticPr fontId="3" type="noConversion"/>
  </si>
  <si>
    <t>鮮蔬冬粉</t>
    <phoneticPr fontId="3" type="noConversion"/>
  </si>
  <si>
    <t>鮮蔬冬粉</t>
    <phoneticPr fontId="3" type="noConversion"/>
  </si>
  <si>
    <t>鮮燴什錦</t>
    <phoneticPr fontId="3" type="noConversion"/>
  </si>
  <si>
    <t>胚米飯</t>
    <phoneticPr fontId="3" type="noConversion"/>
  </si>
  <si>
    <t>胚米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</si>
</sst>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76" formatCode="m&quot;月&quot;d&quot;日&quot;"/>
    <numFmt numFmtId="177" formatCode="0.0_ "/>
    <numFmt numFmtId="178" formatCode="0.0"/>
    <numFmt numFmtId="179" formatCode="0.00_ "/>
    <numFmt numFmtId="180" formatCode="m&quot;月&quot;d&quot;日&quot;;@"/>
  </numFmts>
  <fonts count="3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2"/>
      <color indexed="10"/>
      <name val="新細明體"/>
      <family val="1"/>
      <charset val="136"/>
    </font>
    <font>
      <sz val="12"/>
      <color rgb="FFFF0000"/>
      <name val="新細明體"/>
      <family val="2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color indexed="8"/>
      <name val="新細明體"/>
      <family val="1"/>
      <charset val="136"/>
    </font>
    <font>
      <b/>
      <sz val="9"/>
      <name val="新細明體"/>
      <family val="1"/>
      <charset val="136"/>
    </font>
    <font>
      <sz val="28"/>
      <color indexed="18"/>
      <name val="華康布丁體"/>
      <family val="5"/>
      <charset val="136"/>
    </font>
    <font>
      <sz val="14"/>
      <name val="華康中圓體(P)"/>
      <family val="2"/>
      <charset val="136"/>
    </font>
    <font>
      <sz val="12"/>
      <color indexed="8"/>
      <name val="華康中圓體(P)"/>
      <family val="2"/>
      <charset val="136"/>
    </font>
    <font>
      <sz val="12"/>
      <name val="華康中圓體(P)"/>
      <family val="2"/>
      <charset val="136"/>
    </font>
    <font>
      <sz val="16"/>
      <name val="華康娃娃體(P)"/>
      <family val="5"/>
      <charset val="136"/>
    </font>
    <font>
      <sz val="18"/>
      <name val="華康娃娃體(P)"/>
      <family val="5"/>
      <charset val="136"/>
    </font>
    <font>
      <sz val="26"/>
      <color indexed="10"/>
      <name val="華康POP1體W7(P)"/>
      <family val="5"/>
      <charset val="136"/>
    </font>
    <font>
      <sz val="26"/>
      <name val="華康POP1體W7(P)"/>
      <family val="5"/>
      <charset val="136"/>
    </font>
    <font>
      <sz val="16"/>
      <color indexed="8"/>
      <name val="華康娃娃體(P)"/>
      <family val="5"/>
      <charset val="136"/>
    </font>
    <font>
      <sz val="16"/>
      <color rgb="FF008000"/>
      <name val="華康娃娃體(P)"/>
      <family val="5"/>
      <charset val="136"/>
    </font>
    <font>
      <sz val="10"/>
      <name val="華康中圓體(P)"/>
      <family val="2"/>
      <charset val="136"/>
    </font>
    <font>
      <b/>
      <sz val="9"/>
      <name val="華康中圓體(P)"/>
      <family val="2"/>
      <charset val="136"/>
    </font>
    <font>
      <sz val="14"/>
      <color indexed="8"/>
      <name val="華康中圓體(P)"/>
      <family val="2"/>
      <charset val="136"/>
    </font>
    <font>
      <sz val="28"/>
      <color indexed="41"/>
      <name val="華康中圓體(P)"/>
      <family val="2"/>
      <charset val="136"/>
    </font>
    <font>
      <sz val="12"/>
      <color indexed="17"/>
      <name val="新細明體"/>
      <family val="1"/>
      <charset val="136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thin">
        <color indexed="59"/>
      </top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2" fillId="13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vertical="center" textRotation="255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>
      <alignment vertical="center"/>
    </xf>
    <xf numFmtId="0" fontId="1" fillId="3" borderId="7" xfId="1" applyFont="1" applyFill="1" applyBorder="1" applyAlignment="1">
      <alignment horizontal="center" vertical="center"/>
    </xf>
    <xf numFmtId="177" fontId="1" fillId="0" borderId="8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4" borderId="9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6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vertical="center" shrinkToFit="1"/>
    </xf>
    <xf numFmtId="178" fontId="4" fillId="0" borderId="13" xfId="0" applyNumberFormat="1" applyFont="1" applyBorder="1" applyAlignment="1">
      <alignment horizontal="right" vertical="center"/>
    </xf>
    <xf numFmtId="0" fontId="1" fillId="5" borderId="18" xfId="1" applyFont="1" applyFill="1" applyBorder="1" applyAlignment="1">
      <alignment horizontal="center" vertical="center"/>
    </xf>
    <xf numFmtId="179" fontId="1" fillId="0" borderId="19" xfId="1" applyNumberFormat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4" borderId="20" xfId="1" applyFont="1" applyFill="1" applyBorder="1" applyAlignment="1">
      <alignment horizontal="center" vertical="center"/>
    </xf>
    <xf numFmtId="178" fontId="1" fillId="0" borderId="21" xfId="1" applyNumberFormat="1" applyFont="1" applyFill="1" applyBorder="1" applyAlignment="1">
      <alignment horizontal="center" vertical="center"/>
    </xf>
    <xf numFmtId="9" fontId="1" fillId="0" borderId="22" xfId="2" applyNumberFormat="1" applyFont="1" applyFill="1" applyBorder="1" applyAlignment="1">
      <alignment horizontal="center" vertical="center"/>
    </xf>
    <xf numFmtId="0" fontId="1" fillId="3" borderId="23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4" fillId="0" borderId="13" xfId="0" applyFont="1" applyBorder="1">
      <alignment vertical="center"/>
    </xf>
    <xf numFmtId="0" fontId="1" fillId="6" borderId="18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4" xfId="0" applyFont="1" applyFill="1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1" fillId="7" borderId="18" xfId="1" applyFont="1" applyFill="1" applyBorder="1" applyAlignment="1">
      <alignment horizontal="center" vertical="center"/>
    </xf>
    <xf numFmtId="177" fontId="1" fillId="0" borderId="19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3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1" fillId="8" borderId="1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9" fontId="1" fillId="0" borderId="15" xfId="1" applyNumberFormat="1" applyFont="1" applyFill="1" applyBorder="1" applyAlignment="1">
      <alignment horizontal="center" vertical="center"/>
    </xf>
    <xf numFmtId="0" fontId="0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1" fillId="9" borderId="18" xfId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0" xfId="0" applyFont="1" applyBorder="1" applyAlignment="1">
      <alignment vertical="center" shrinkToFit="1"/>
    </xf>
    <xf numFmtId="0" fontId="1" fillId="0" borderId="24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27" xfId="0" applyFont="1" applyBorder="1">
      <alignment vertical="center"/>
    </xf>
    <xf numFmtId="0" fontId="4" fillId="0" borderId="15" xfId="0" applyFont="1" applyBorder="1" applyAlignment="1">
      <alignment horizontal="center" vertical="center" shrinkToFit="1"/>
    </xf>
    <xf numFmtId="177" fontId="1" fillId="0" borderId="28" xfId="1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1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0" fillId="0" borderId="15" xfId="1" applyFont="1" applyFill="1" applyBorder="1" applyAlignment="1">
      <alignment horizontal="center" vertical="center" shrinkToFit="1"/>
    </xf>
    <xf numFmtId="0" fontId="0" fillId="0" borderId="16" xfId="4" applyFont="1" applyBorder="1" applyAlignment="1">
      <alignment horizontal="left" vertical="center" shrinkToFit="1"/>
    </xf>
    <xf numFmtId="0" fontId="1" fillId="0" borderId="30" xfId="4" applyFont="1" applyBorder="1" applyAlignment="1">
      <alignment horizontal="center" vertical="center" shrinkToFit="1"/>
    </xf>
    <xf numFmtId="0" fontId="1" fillId="4" borderId="31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14" xfId="4" applyFont="1" applyBorder="1" applyAlignment="1">
      <alignment horizontal="left" vertical="center" shrinkToFit="1"/>
    </xf>
    <xf numFmtId="0" fontId="1" fillId="0" borderId="33" xfId="4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9" fontId="7" fillId="0" borderId="15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1" fillId="0" borderId="15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vertical="center"/>
    </xf>
    <xf numFmtId="0" fontId="0" fillId="0" borderId="14" xfId="1" applyFont="1" applyBorder="1" applyAlignment="1">
      <alignment vertical="center" shrinkToFit="1"/>
    </xf>
    <xf numFmtId="0" fontId="0" fillId="0" borderId="14" xfId="1" applyFont="1" applyFill="1" applyBorder="1" applyAlignment="1">
      <alignment horizontal="left" vertical="center" shrinkToFit="1"/>
    </xf>
    <xf numFmtId="0" fontId="1" fillId="0" borderId="15" xfId="1" applyFont="1" applyFill="1" applyBorder="1" applyAlignment="1">
      <alignment horizontal="center" vertical="center" shrinkToFit="1"/>
    </xf>
    <xf numFmtId="0" fontId="1" fillId="0" borderId="15" xfId="5" applyFont="1" applyBorder="1" applyAlignment="1">
      <alignment horizontal="center" vertical="center" shrinkToFit="1"/>
    </xf>
    <xf numFmtId="0" fontId="0" fillId="6" borderId="18" xfId="1" applyFont="1" applyFill="1" applyBorder="1" applyAlignment="1">
      <alignment horizontal="center" vertical="center"/>
    </xf>
    <xf numFmtId="0" fontId="1" fillId="0" borderId="14" xfId="5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8" fillId="0" borderId="14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" fillId="0" borderId="14" xfId="0" applyFont="1" applyBorder="1" applyAlignment="1">
      <alignment vertical="center" shrinkToFit="1"/>
    </xf>
    <xf numFmtId="0" fontId="0" fillId="0" borderId="14" xfId="1" applyFont="1" applyFill="1" applyBorder="1" applyAlignment="1">
      <alignment vertical="center" shrinkToFit="1"/>
    </xf>
    <xf numFmtId="0" fontId="1" fillId="0" borderId="17" xfId="4" applyFont="1" applyBorder="1" applyAlignment="1">
      <alignment horizontal="center" vertical="center" shrinkToFit="1"/>
    </xf>
    <xf numFmtId="0" fontId="1" fillId="0" borderId="36" xfId="4" applyFont="1" applyBorder="1" applyAlignment="1">
      <alignment horizontal="center" vertical="center" shrinkToFit="1"/>
    </xf>
    <xf numFmtId="0" fontId="7" fillId="0" borderId="14" xfId="1" applyFont="1" applyFill="1" applyBorder="1" applyAlignment="1">
      <alignment vertical="center" shrinkToFit="1"/>
    </xf>
    <xf numFmtId="9" fontId="7" fillId="0" borderId="15" xfId="1" applyNumberFormat="1" applyFont="1" applyFill="1" applyBorder="1" applyAlignment="1">
      <alignment horizontal="center" vertical="center" shrinkToFit="1"/>
    </xf>
    <xf numFmtId="0" fontId="1" fillId="0" borderId="15" xfId="4" applyFont="1" applyBorder="1" applyAlignment="1">
      <alignment horizontal="center" vertical="center" shrinkToFit="1"/>
    </xf>
    <xf numFmtId="0" fontId="1" fillId="0" borderId="37" xfId="4" applyFont="1" applyBorder="1" applyAlignment="1">
      <alignment horizontal="center" vertical="center" shrinkToFit="1"/>
    </xf>
    <xf numFmtId="0" fontId="0" fillId="0" borderId="16" xfId="0" applyFont="1" applyFill="1" applyBorder="1" applyAlignment="1">
      <alignment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9" fontId="10" fillId="0" borderId="15" xfId="0" applyNumberFormat="1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0" fillId="0" borderId="2" xfId="0" applyBorder="1" applyAlignment="1">
      <alignment vertical="center" textRotation="255"/>
    </xf>
    <xf numFmtId="0" fontId="5" fillId="0" borderId="16" xfId="0" applyFont="1" applyBorder="1" applyAlignment="1">
      <alignment vertical="center" shrinkToFit="1"/>
    </xf>
    <xf numFmtId="0" fontId="1" fillId="0" borderId="17" xfId="1" applyFont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3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15" fillId="0" borderId="14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0" fillId="0" borderId="34" xfId="1" applyFont="1" applyFill="1" applyBorder="1" applyAlignment="1">
      <alignment vertical="center" shrinkToFit="1"/>
    </xf>
    <xf numFmtId="0" fontId="1" fillId="0" borderId="15" xfId="1" applyBorder="1" applyAlignment="1">
      <alignment horizontal="center" vertical="center" shrinkToFit="1"/>
    </xf>
    <xf numFmtId="0" fontId="0" fillId="0" borderId="0" xfId="1" applyFont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0" fontId="1" fillId="0" borderId="14" xfId="1" applyFont="1" applyFill="1" applyBorder="1" applyAlignment="1">
      <alignment horizontal="left" vertical="center" shrinkToFit="1"/>
    </xf>
    <xf numFmtId="9" fontId="10" fillId="0" borderId="15" xfId="0" applyNumberFormat="1" applyFont="1" applyBorder="1" applyAlignment="1">
      <alignment horizontal="center" vertical="center" shrinkToFit="1"/>
    </xf>
    <xf numFmtId="0" fontId="0" fillId="0" borderId="14" xfId="3" applyFont="1" applyBorder="1" applyAlignment="1">
      <alignment vertical="center" shrinkToFit="1"/>
    </xf>
    <xf numFmtId="0" fontId="1" fillId="0" borderId="15" xfId="3" applyFont="1" applyBorder="1" applyAlignment="1">
      <alignment horizontal="center" vertical="center" shrinkToFit="1"/>
    </xf>
    <xf numFmtId="9" fontId="0" fillId="0" borderId="15" xfId="0" applyNumberFormat="1" applyFont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6" fillId="0" borderId="15" xfId="0" applyFont="1" applyBorder="1" applyAlignment="1">
      <alignment horizontal="center" vertical="center" shrinkToFit="1"/>
    </xf>
    <xf numFmtId="0" fontId="17" fillId="0" borderId="14" xfId="0" applyFont="1" applyFill="1" applyBorder="1" applyAlignment="1">
      <alignment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/>
    </xf>
    <xf numFmtId="9" fontId="7" fillId="0" borderId="15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" fillId="0" borderId="17" xfId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1" applyFont="1" applyFill="1" applyBorder="1" applyAlignment="1">
      <alignment vertical="center" shrinkToFit="1"/>
    </xf>
    <xf numFmtId="0" fontId="0" fillId="0" borderId="34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1" applyFont="1" applyFill="1" applyBorder="1" applyAlignment="1">
      <alignment shrinkToFit="1"/>
    </xf>
    <xf numFmtId="0" fontId="10" fillId="0" borderId="15" xfId="0" applyFont="1" applyFill="1" applyBorder="1" applyAlignment="1">
      <alignment horizontal="center" vertical="center" shrinkToFit="1"/>
    </xf>
    <xf numFmtId="0" fontId="0" fillId="0" borderId="0" xfId="1" applyFont="1" applyAlignment="1">
      <alignment shrinkToFit="1"/>
    </xf>
    <xf numFmtId="0" fontId="1" fillId="0" borderId="14" xfId="5" applyFont="1" applyFill="1" applyBorder="1" applyAlignment="1">
      <alignment vertical="center" shrinkToFit="1"/>
    </xf>
    <xf numFmtId="0" fontId="1" fillId="0" borderId="15" xfId="5" applyFont="1" applyFill="1" applyBorder="1" applyAlignment="1">
      <alignment horizontal="center" vertical="center" shrinkToFit="1"/>
    </xf>
    <xf numFmtId="0" fontId="1" fillId="0" borderId="16" xfId="4" applyBorder="1" applyAlignment="1">
      <alignment horizontal="left" vertical="center" shrinkToFit="1"/>
    </xf>
    <xf numFmtId="0" fontId="1" fillId="0" borderId="17" xfId="5" applyFont="1" applyFill="1" applyBorder="1" applyAlignment="1">
      <alignment horizontal="center" vertical="center" shrinkToFit="1"/>
    </xf>
    <xf numFmtId="0" fontId="0" fillId="0" borderId="0" xfId="0" applyAlignment="1"/>
    <xf numFmtId="0" fontId="0" fillId="0" borderId="14" xfId="5" applyFont="1" applyBorder="1" applyAlignment="1">
      <alignment vertical="center" shrinkToFit="1"/>
    </xf>
    <xf numFmtId="0" fontId="7" fillId="0" borderId="14" xfId="0" applyFont="1" applyFill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7" fillId="0" borderId="14" xfId="1" applyFont="1" applyBorder="1" applyAlignment="1">
      <alignment vertical="center" shrinkToFit="1"/>
    </xf>
    <xf numFmtId="9" fontId="7" fillId="0" borderId="15" xfId="1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14" xfId="5" applyFont="1" applyFill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" fillId="0" borderId="3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0" fillId="0" borderId="14" xfId="1" applyFont="1" applyFill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vertical="center" shrinkToFit="1"/>
    </xf>
    <xf numFmtId="0" fontId="0" fillId="0" borderId="0" xfId="0" applyAlignment="1">
      <alignment vertical="center" textRotation="255"/>
    </xf>
    <xf numFmtId="0" fontId="4" fillId="0" borderId="0" xfId="0" applyFont="1">
      <alignment vertical="center"/>
    </xf>
    <xf numFmtId="176" fontId="20" fillId="4" borderId="38" xfId="0" applyNumberFormat="1" applyFont="1" applyFill="1" applyBorder="1" applyAlignment="1">
      <alignment horizontal="center" vertical="center" shrinkToFit="1"/>
    </xf>
    <xf numFmtId="0" fontId="20" fillId="4" borderId="39" xfId="0" applyNumberFormat="1" applyFont="1" applyFill="1" applyBorder="1" applyAlignment="1">
      <alignment horizontal="center" vertical="center" shrinkToFit="1"/>
    </xf>
    <xf numFmtId="180" fontId="20" fillId="4" borderId="38" xfId="0" applyNumberFormat="1" applyFont="1" applyFill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28" fillId="0" borderId="16" xfId="0" applyFont="1" applyFill="1" applyBorder="1" applyAlignment="1">
      <alignment horizontal="center" vertical="center" shrinkToFit="1"/>
    </xf>
    <xf numFmtId="176" fontId="30" fillId="4" borderId="38" xfId="0" applyNumberFormat="1" applyFont="1" applyFill="1" applyBorder="1" applyAlignment="1">
      <alignment horizontal="center" vertical="center" shrinkToFit="1"/>
    </xf>
    <xf numFmtId="0" fontId="30" fillId="4" borderId="39" xfId="0" applyNumberFormat="1" applyFont="1" applyFill="1" applyBorder="1" applyAlignment="1">
      <alignment horizontal="center" vertical="center" shrinkToFit="1"/>
    </xf>
    <xf numFmtId="180" fontId="30" fillId="4" borderId="38" xfId="0" applyNumberFormat="1" applyFont="1" applyFill="1" applyBorder="1" applyAlignment="1">
      <alignment horizontal="center" vertical="center" shrinkToFit="1"/>
    </xf>
    <xf numFmtId="180" fontId="20" fillId="4" borderId="46" xfId="0" applyNumberFormat="1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179" fontId="0" fillId="0" borderId="19" xfId="1" applyNumberFormat="1" applyFont="1" applyFill="1" applyBorder="1" applyAlignment="1">
      <alignment horizontal="center" vertical="center"/>
    </xf>
    <xf numFmtId="9" fontId="7" fillId="0" borderId="15" xfId="0" applyNumberFormat="1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 textRotation="255" shrinkToFit="1"/>
    </xf>
    <xf numFmtId="176" fontId="0" fillId="0" borderId="13" xfId="0" applyNumberFormat="1" applyFont="1" applyFill="1" applyBorder="1" applyAlignment="1">
      <alignment horizontal="center" vertical="center" textRotation="255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0" fillId="0" borderId="13" xfId="0" applyBorder="1" applyAlignment="1">
      <alignment vertical="center" textRotation="255" shrinkToFit="1"/>
    </xf>
    <xf numFmtId="0" fontId="0" fillId="0" borderId="28" xfId="0" applyBorder="1" applyAlignment="1">
      <alignment vertical="center" textRotation="255" shrinkToFit="1"/>
    </xf>
    <xf numFmtId="0" fontId="0" fillId="0" borderId="34" xfId="0" applyBorder="1" applyAlignment="1">
      <alignment horizontal="left" vertical="center"/>
    </xf>
    <xf numFmtId="0" fontId="10" fillId="10" borderId="0" xfId="0" applyFont="1" applyFill="1" applyAlignment="1">
      <alignment horizontal="left" vertical="center" wrapText="1"/>
    </xf>
    <xf numFmtId="0" fontId="0" fillId="10" borderId="0" xfId="0" applyFont="1" applyFill="1" applyAlignment="1">
      <alignment horizontal="left" vertical="center" wrapText="1"/>
    </xf>
    <xf numFmtId="0" fontId="10" fillId="11" borderId="0" xfId="0" applyFont="1" applyFill="1" applyAlignment="1">
      <alignment horizontal="left" vertical="center" wrapText="1"/>
    </xf>
    <xf numFmtId="0" fontId="12" fillId="10" borderId="0" xfId="0" applyFont="1" applyFill="1" applyAlignment="1">
      <alignment horizontal="left" vertical="center" wrapText="1"/>
    </xf>
    <xf numFmtId="0" fontId="7" fillId="0" borderId="2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5" applyFont="1" applyFill="1" applyBorder="1" applyAlignment="1">
      <alignment horizontal="center" vertical="center" shrinkToFit="1"/>
    </xf>
    <xf numFmtId="0" fontId="0" fillId="2" borderId="5" xfId="5" applyFont="1" applyFill="1" applyBorder="1" applyAlignment="1">
      <alignment horizontal="center" vertical="center" shrinkToFit="1"/>
    </xf>
    <xf numFmtId="0" fontId="7" fillId="0" borderId="29" xfId="5" applyFont="1" applyFill="1" applyBorder="1" applyAlignment="1">
      <alignment horizontal="center" vertical="center" shrinkToFit="1"/>
    </xf>
    <xf numFmtId="0" fontId="7" fillId="0" borderId="27" xfId="5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31" fillId="12" borderId="16" xfId="0" applyNumberFormat="1" applyFont="1" applyFill="1" applyBorder="1" applyAlignment="1">
      <alignment horizontal="center"/>
    </xf>
    <xf numFmtId="0" fontId="31" fillId="12" borderId="34" xfId="0" applyNumberFormat="1" applyFont="1" applyFill="1" applyBorder="1" applyAlignment="1">
      <alignment horizontal="center"/>
    </xf>
    <xf numFmtId="0" fontId="22" fillId="0" borderId="42" xfId="6" applyFont="1" applyFill="1" applyBorder="1" applyAlignment="1">
      <alignment horizontal="center" vertical="center" shrinkToFit="1"/>
    </xf>
    <xf numFmtId="0" fontId="22" fillId="0" borderId="43" xfId="6" applyFont="1" applyFill="1" applyBorder="1" applyAlignment="1">
      <alignment horizontal="center" vertical="center" shrinkToFit="1"/>
    </xf>
    <xf numFmtId="0" fontId="26" fillId="0" borderId="42" xfId="6" applyFont="1" applyFill="1" applyBorder="1" applyAlignment="1">
      <alignment horizontal="center" vertical="center" shrinkToFit="1"/>
    </xf>
    <xf numFmtId="0" fontId="26" fillId="0" borderId="43" xfId="6" applyFont="1" applyFill="1" applyBorder="1" applyAlignment="1">
      <alignment horizontal="center" vertical="center" shrinkToFit="1"/>
    </xf>
    <xf numFmtId="177" fontId="29" fillId="4" borderId="44" xfId="0" applyNumberFormat="1" applyFont="1" applyFill="1" applyBorder="1" applyAlignment="1">
      <alignment horizontal="center" vertical="center" shrinkToFit="1"/>
    </xf>
    <xf numFmtId="177" fontId="29" fillId="4" borderId="45" xfId="0" applyNumberFormat="1" applyFont="1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6" fillId="0" borderId="14" xfId="6" applyFont="1" applyFill="1" applyBorder="1" applyAlignment="1">
      <alignment horizontal="center" vertical="center" shrinkToFit="1"/>
    </xf>
    <xf numFmtId="0" fontId="26" fillId="0" borderId="15" xfId="6" applyFont="1" applyFill="1" applyBorder="1" applyAlignment="1">
      <alignment horizontal="center" vertical="center" shrinkToFit="1"/>
    </xf>
    <xf numFmtId="0" fontId="27" fillId="0" borderId="14" xfId="6" applyFont="1" applyFill="1" applyBorder="1" applyAlignment="1">
      <alignment horizontal="center" vertical="center" shrinkToFit="1"/>
    </xf>
    <xf numFmtId="0" fontId="27" fillId="0" borderId="15" xfId="6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shrinkToFit="1"/>
    </xf>
    <xf numFmtId="0" fontId="22" fillId="0" borderId="41" xfId="0" applyFont="1" applyFill="1" applyBorder="1" applyAlignment="1">
      <alignment horizontal="center" vertical="center" shrinkToFit="1"/>
    </xf>
    <xf numFmtId="0" fontId="23" fillId="0" borderId="40" xfId="0" applyFont="1" applyFill="1" applyBorder="1" applyAlignment="1">
      <alignment horizontal="center" vertical="center" shrinkToFit="1"/>
    </xf>
    <xf numFmtId="0" fontId="23" fillId="0" borderId="47" xfId="0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7" xfId="0" applyFont="1" applyFill="1" applyBorder="1" applyAlignment="1">
      <alignment horizontal="center" vertical="center" shrinkToFit="1"/>
    </xf>
    <xf numFmtId="0" fontId="24" fillId="0" borderId="14" xfId="6" applyFont="1" applyFill="1" applyBorder="1" applyAlignment="1">
      <alignment horizontal="center" vertical="center" shrinkToFit="1"/>
    </xf>
    <xf numFmtId="0" fontId="24" fillId="0" borderId="15" xfId="6" applyFont="1" applyFill="1" applyBorder="1" applyAlignment="1">
      <alignment horizontal="center" vertical="center" shrinkToFit="1"/>
    </xf>
    <xf numFmtId="0" fontId="25" fillId="0" borderId="15" xfId="0" applyFont="1" applyBorder="1" applyAlignment="1">
      <alignment horizontal="center" vertical="center" shrinkToFit="1"/>
    </xf>
    <xf numFmtId="0" fontId="22" fillId="0" borderId="14" xfId="6" applyFont="1" applyFill="1" applyBorder="1" applyAlignment="1">
      <alignment horizontal="center" vertical="center" shrinkToFit="1"/>
    </xf>
    <xf numFmtId="0" fontId="22" fillId="0" borderId="15" xfId="6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14" borderId="14" xfId="6" applyFont="1" applyFill="1" applyBorder="1" applyAlignment="1">
      <alignment horizontal="center" vertical="center" shrinkToFit="1"/>
    </xf>
    <xf numFmtId="0" fontId="26" fillId="14" borderId="15" xfId="6" applyFont="1" applyFill="1" applyBorder="1" applyAlignment="1">
      <alignment horizontal="center" vertical="center" shrinkToFit="1"/>
    </xf>
  </cellXfs>
  <cellStyles count="9">
    <cellStyle name="一般" xfId="0" builtinId="0"/>
    <cellStyle name="一般 2" xfId="1"/>
    <cellStyle name="一般 2 2" xfId="3"/>
    <cellStyle name="一般 3" xfId="5"/>
    <cellStyle name="一般_東平小11月份菜單(改)" xfId="6"/>
    <cellStyle name="一般_新光國小-8.9月菜單" xfId="4"/>
    <cellStyle name="好_新平國小107年9月菜單(貝佳)" xfId="7"/>
    <cellStyle name="百分比 2" xfId="2"/>
    <cellStyle name="貨幣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emf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8" Type="http://schemas.openxmlformats.org/officeDocument/2006/relationships/image" Target="../media/image8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230655</xdr:colOff>
      <xdr:row>0</xdr:row>
      <xdr:rowOff>771864</xdr:rowOff>
    </xdr:from>
    <xdr:to>
      <xdr:col>9</xdr:col>
      <xdr:colOff>790948</xdr:colOff>
      <xdr:row>0</xdr:row>
      <xdr:rowOff>1305656</xdr:rowOff>
    </xdr:to>
    <xdr:sp macro="" textlink="">
      <xdr:nvSpPr>
        <xdr:cNvPr id="9" name="矩形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771714" y="771864"/>
          <a:ext cx="3787587" cy="533792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>
              <a:gd name="adj" fmla="val 49621"/>
            </a:avLst>
          </a:prstTxWarp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altLang="zh-TW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109</a:t>
          </a:r>
          <a:r>
            <a:rPr lang="zh-TW" altLang="en-US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年</a:t>
          </a:r>
          <a:r>
            <a:rPr lang="en-US" altLang="zh-TW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9</a:t>
          </a:r>
          <a:r>
            <a:rPr lang="zh-TW" altLang="en-US" sz="1600" b="0" cap="none" spc="50">
              <a:ln w="11430"/>
              <a:solidFill>
                <a:schemeClr val="tx1"/>
              </a:solidFill>
              <a:effectLst/>
              <a:latin typeface="華康超圓體(P)" pitchFamily="34" charset="-120"/>
              <a:ea typeface="華康超圓體(P)" pitchFamily="34" charset="-120"/>
            </a:rPr>
            <a:t>月午餐菜單</a:t>
          </a:r>
        </a:p>
      </xdr:txBody>
    </xdr:sp>
    <xdr:clientData/>
  </xdr:twoCellAnchor>
  <xdr:twoCellAnchor>
    <xdr:from>
      <xdr:col>0</xdr:col>
      <xdr:colOff>174625</xdr:colOff>
      <xdr:row>0</xdr:row>
      <xdr:rowOff>974912</xdr:rowOff>
    </xdr:from>
    <xdr:to>
      <xdr:col>4</xdr:col>
      <xdr:colOff>544419</xdr:colOff>
      <xdr:row>0</xdr:row>
      <xdr:rowOff>1322294</xdr:rowOff>
    </xdr:to>
    <xdr:sp macro="" textlink="">
      <xdr:nvSpPr>
        <xdr:cNvPr id="10" name="文字方塊 9"/>
        <xdr:cNvSpPr txBox="1"/>
      </xdr:nvSpPr>
      <xdr:spPr>
        <a:xfrm>
          <a:off x="174625" y="974912"/>
          <a:ext cx="3104029" cy="3473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400" b="1"/>
            <a:t>W</a:t>
          </a:r>
          <a:r>
            <a:rPr lang="zh-TW" altLang="en-US" sz="1400" b="1"/>
            <a:t>一</a:t>
          </a:r>
          <a:r>
            <a:rPr lang="en-US" altLang="zh-TW" sz="1400" b="1"/>
            <a:t>X</a:t>
          </a:r>
          <a:r>
            <a:rPr lang="zh-TW" altLang="en-US" sz="1400" b="1"/>
            <a:t>蔬</a:t>
          </a:r>
          <a:r>
            <a:rPr lang="en-US" altLang="zh-TW" sz="1400" b="1"/>
            <a:t>+W</a:t>
          </a:r>
          <a:r>
            <a:rPr lang="zh-TW" altLang="en-US" sz="1400" b="1"/>
            <a:t>三特餐</a:t>
          </a:r>
        </a:p>
      </xdr:txBody>
    </xdr:sp>
    <xdr:clientData/>
  </xdr:twoCellAnchor>
  <xdr:twoCellAnchor>
    <xdr:from>
      <xdr:col>0</xdr:col>
      <xdr:colOff>0</xdr:colOff>
      <xdr:row>0</xdr:row>
      <xdr:rowOff>7936</xdr:rowOff>
    </xdr:from>
    <xdr:to>
      <xdr:col>12</xdr:col>
      <xdr:colOff>798419</xdr:colOff>
      <xdr:row>0</xdr:row>
      <xdr:rowOff>1357312</xdr:rowOff>
    </xdr:to>
    <xdr:sp macro="" textlink="">
      <xdr:nvSpPr>
        <xdr:cNvPr id="11" name="矩形 10"/>
        <xdr:cNvSpPr/>
      </xdr:nvSpPr>
      <xdr:spPr>
        <a:xfrm>
          <a:off x="0" y="7936"/>
          <a:ext cx="9987243" cy="13493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400"/>
        </a:p>
      </xdr:txBody>
    </xdr:sp>
    <xdr:clientData/>
  </xdr:twoCellAnchor>
  <xdr:twoCellAnchor>
    <xdr:from>
      <xdr:col>10</xdr:col>
      <xdr:colOff>794652</xdr:colOff>
      <xdr:row>0</xdr:row>
      <xdr:rowOff>126619</xdr:rowOff>
    </xdr:from>
    <xdr:to>
      <xdr:col>12</xdr:col>
      <xdr:colOff>133446</xdr:colOff>
      <xdr:row>0</xdr:row>
      <xdr:rowOff>956235</xdr:rowOff>
    </xdr:to>
    <xdr:pic>
      <xdr:nvPicPr>
        <xdr:cNvPr id="12" name="圖片 11" descr="HACCP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69828" y="126619"/>
          <a:ext cx="952442" cy="829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506421</xdr:colOff>
      <xdr:row>0</xdr:row>
      <xdr:rowOff>109047</xdr:rowOff>
    </xdr:from>
    <xdr:to>
      <xdr:col>10</xdr:col>
      <xdr:colOff>634067</xdr:colOff>
      <xdr:row>0</xdr:row>
      <xdr:rowOff>948505</xdr:rowOff>
    </xdr:to>
    <xdr:pic>
      <xdr:nvPicPr>
        <xdr:cNvPr id="13" name="圖片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4774" y="109047"/>
          <a:ext cx="934469" cy="839458"/>
        </a:xfrm>
        <a:prstGeom prst="rect">
          <a:avLst/>
        </a:prstGeom>
        <a:noFill/>
        <a:ln w="381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223184</xdr:colOff>
      <xdr:row>0</xdr:row>
      <xdr:rowOff>0</xdr:rowOff>
    </xdr:from>
    <xdr:to>
      <xdr:col>3</xdr:col>
      <xdr:colOff>128587</xdr:colOff>
      <xdr:row>1</xdr:row>
      <xdr:rowOff>82140</xdr:rowOff>
    </xdr:to>
    <xdr:grpSp>
      <xdr:nvGrpSpPr>
        <xdr:cNvPr id="14" name="组合 44"/>
        <xdr:cNvGrpSpPr/>
      </xdr:nvGrpSpPr>
      <xdr:grpSpPr>
        <a:xfrm rot="5400000">
          <a:off x="337556" y="-114372"/>
          <a:ext cx="1455808" cy="1684552"/>
          <a:chOff x="927701" y="1006877"/>
          <a:chExt cx="4022133" cy="4514871"/>
        </a:xfrm>
      </xdr:grpSpPr>
      <xdr:pic>
        <xdr:nvPicPr>
          <xdr:cNvPr id="15" name="图片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1429" y="1255234"/>
            <a:ext cx="1463043" cy="1527051"/>
          </a:xfrm>
          <a:prstGeom prst="rect">
            <a:avLst/>
          </a:prstGeom>
        </xdr:spPr>
      </xdr:pic>
      <xdr:pic>
        <xdr:nvPicPr>
          <xdr:cNvPr id="16" name="图片 10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03627" y="4223820"/>
            <a:ext cx="1052920" cy="1100780"/>
          </a:xfrm>
          <a:prstGeom prst="rect">
            <a:avLst/>
          </a:prstGeom>
        </xdr:spPr>
      </xdr:pic>
      <xdr:pic>
        <xdr:nvPicPr>
          <xdr:cNvPr id="17" name="图片 11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0213" y="1889069"/>
            <a:ext cx="1425177" cy="1295052"/>
          </a:xfrm>
          <a:prstGeom prst="rect">
            <a:avLst/>
          </a:prstGeom>
        </xdr:spPr>
      </xdr:pic>
      <xdr:pic>
        <xdr:nvPicPr>
          <xdr:cNvPr id="18" name="图片 12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12414" y="2825761"/>
            <a:ext cx="1073043" cy="1295051"/>
          </a:xfrm>
          <a:prstGeom prst="rect">
            <a:avLst/>
          </a:prstGeom>
        </xdr:spPr>
      </xdr:pic>
      <xdr:pic>
        <xdr:nvPicPr>
          <xdr:cNvPr id="19" name="图片 13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63864" y="4378207"/>
            <a:ext cx="1437296" cy="1143541"/>
          </a:xfrm>
          <a:prstGeom prst="rect">
            <a:avLst/>
          </a:prstGeom>
        </xdr:spPr>
      </xdr:pic>
      <xdr:pic>
        <xdr:nvPicPr>
          <xdr:cNvPr id="20" name="图片 14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32940" y="1006877"/>
            <a:ext cx="1577400" cy="1640329"/>
          </a:xfrm>
          <a:prstGeom prst="rect">
            <a:avLst/>
          </a:prstGeom>
        </xdr:spPr>
      </xdr:pic>
      <xdr:pic>
        <xdr:nvPicPr>
          <xdr:cNvPr id="21" name="图片 15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9333" y="3178284"/>
            <a:ext cx="1237788" cy="1123178"/>
          </a:xfrm>
          <a:prstGeom prst="rect">
            <a:avLst/>
          </a:prstGeom>
        </xdr:spPr>
      </xdr:pic>
      <xdr:pic>
        <xdr:nvPicPr>
          <xdr:cNvPr id="22" name="图片 16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7701" y="3759677"/>
            <a:ext cx="831647" cy="802156"/>
          </a:xfrm>
          <a:prstGeom prst="rect">
            <a:avLst/>
          </a:prstGeom>
        </xdr:spPr>
      </xdr:pic>
      <xdr:pic>
        <xdr:nvPicPr>
          <xdr:cNvPr id="23" name="图片 17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36816" y="2695640"/>
            <a:ext cx="1102963" cy="979101"/>
          </a:xfrm>
          <a:prstGeom prst="rect">
            <a:avLst/>
          </a:prstGeom>
        </xdr:spPr>
      </xdr:pic>
      <xdr:pic>
        <xdr:nvPicPr>
          <xdr:cNvPr id="24" name="图片 18"/>
          <xdr:cNvPicPr>
            <a:picLocks noChangeAspect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79640" y="1580697"/>
            <a:ext cx="908634" cy="856613"/>
          </a:xfrm>
          <a:prstGeom prst="rect">
            <a:avLst/>
          </a:prstGeom>
        </xdr:spPr>
      </xdr:pic>
      <xdr:pic>
        <xdr:nvPicPr>
          <xdr:cNvPr id="25" name="图片 19"/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59743" y="4011395"/>
            <a:ext cx="931915" cy="1091168"/>
          </a:xfrm>
          <a:prstGeom prst="rect">
            <a:avLst/>
          </a:prstGeom>
        </xdr:spPr>
      </xdr:pic>
      <xdr:pic>
        <xdr:nvPicPr>
          <xdr:cNvPr id="26" name="图片 20"/>
          <xdr:cNvPicPr>
            <a:picLocks noChangeAspect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65357" y="3555442"/>
            <a:ext cx="1038084" cy="1108862"/>
          </a:xfrm>
          <a:prstGeom prst="rect">
            <a:avLst/>
          </a:prstGeom>
        </xdr:spPr>
      </xdr:pic>
      <xdr:pic>
        <xdr:nvPicPr>
          <xdr:cNvPr id="27" name="图片 21"/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24355" y="2780546"/>
            <a:ext cx="725479" cy="1002693"/>
          </a:xfrm>
          <a:prstGeom prst="rect">
            <a:avLst/>
          </a:prstGeom>
        </xdr:spPr>
      </xdr:pic>
      <xdr:pic>
        <xdr:nvPicPr>
          <xdr:cNvPr id="28" name="图片 22"/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0329" y="4417409"/>
            <a:ext cx="867036" cy="802156"/>
          </a:xfrm>
          <a:prstGeom prst="rect">
            <a:avLst/>
          </a:prstGeom>
        </xdr:spPr>
      </xdr:pic>
      <xdr:pic>
        <xdr:nvPicPr>
          <xdr:cNvPr id="29" name="图片 23"/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82246" y="4369887"/>
            <a:ext cx="790359" cy="943712"/>
          </a:xfrm>
          <a:prstGeom prst="rect">
            <a:avLst/>
          </a:prstGeom>
        </xdr:spPr>
      </xdr:pic>
      <xdr:pic>
        <xdr:nvPicPr>
          <xdr:cNvPr id="30" name="图片 24"/>
          <xdr:cNvPicPr>
            <a:picLocks noChangeAspect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2605" y="2502283"/>
            <a:ext cx="778562" cy="678293"/>
          </a:xfrm>
          <a:prstGeom prst="rect">
            <a:avLst/>
          </a:prstGeom>
        </xdr:spPr>
      </xdr:pic>
      <xdr:pic>
        <xdr:nvPicPr>
          <xdr:cNvPr id="31" name="图片 25"/>
          <xdr:cNvPicPr>
            <a:picLocks noChangeAspect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3196" y="3673193"/>
            <a:ext cx="790360" cy="772665"/>
          </a:xfrm>
          <a:prstGeom prst="rect">
            <a:avLst/>
          </a:prstGeom>
        </xdr:spPr>
      </xdr:pic>
      <xdr:pic>
        <xdr:nvPicPr>
          <xdr:cNvPr id="32" name="图片 27"/>
          <xdr:cNvPicPr>
            <a:picLocks noChangeAspect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4632" y="2178458"/>
            <a:ext cx="1029433" cy="933132"/>
          </a:xfrm>
          <a:prstGeom prst="rect">
            <a:avLst/>
          </a:prstGeom>
        </xdr:spPr>
      </xdr:pic>
      <xdr:pic>
        <xdr:nvPicPr>
          <xdr:cNvPr id="33" name="图片 28"/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13108" y="1618344"/>
            <a:ext cx="1751766" cy="1504042"/>
          </a:xfrm>
          <a:prstGeom prst="rect">
            <a:avLst/>
          </a:prstGeom>
        </xdr:spPr>
      </xdr:pic>
      <xdr:pic>
        <xdr:nvPicPr>
          <xdr:cNvPr id="34" name="图片 29"/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5400000">
            <a:off x="1043253" y="1876108"/>
            <a:ext cx="3739759" cy="3023621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217114</xdr:colOff>
      <xdr:row>0</xdr:row>
      <xdr:rowOff>468311</xdr:rowOff>
    </xdr:from>
    <xdr:to>
      <xdr:col>2</xdr:col>
      <xdr:colOff>517337</xdr:colOff>
      <xdr:row>0</xdr:row>
      <xdr:rowOff>1078995</xdr:rowOff>
    </xdr:to>
    <xdr:pic>
      <xdr:nvPicPr>
        <xdr:cNvPr id="35" name="圖片 34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79" y="468311"/>
          <a:ext cx="1107046" cy="610684"/>
        </a:xfrm>
        <a:prstGeom prst="rect">
          <a:avLst/>
        </a:prstGeom>
      </xdr:spPr>
    </xdr:pic>
    <xdr:clientData/>
  </xdr:twoCellAnchor>
  <xdr:twoCellAnchor>
    <xdr:from>
      <xdr:col>2</xdr:col>
      <xdr:colOff>272950</xdr:colOff>
      <xdr:row>0</xdr:row>
      <xdr:rowOff>845445</xdr:rowOff>
    </xdr:from>
    <xdr:to>
      <xdr:col>10</xdr:col>
      <xdr:colOff>417867</xdr:colOff>
      <xdr:row>1</xdr:row>
      <xdr:rowOff>19112</xdr:rowOff>
    </xdr:to>
    <xdr:grpSp>
      <xdr:nvGrpSpPr>
        <xdr:cNvPr id="36" name="群組 35"/>
        <xdr:cNvGrpSpPr/>
      </xdr:nvGrpSpPr>
      <xdr:grpSpPr>
        <a:xfrm>
          <a:off x="1307339" y="845445"/>
          <a:ext cx="6102999" cy="547335"/>
          <a:chOff x="311545" y="5865429"/>
          <a:chExt cx="11507203" cy="1040791"/>
        </a:xfrm>
      </xdr:grpSpPr>
      <xdr:pic>
        <xdr:nvPicPr>
          <xdr:cNvPr id="37" name="图片 53"/>
          <xdr:cNvPicPr>
            <a:picLocks noChangeAspect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68419" y="6312149"/>
            <a:ext cx="448057" cy="414529"/>
          </a:xfrm>
          <a:prstGeom prst="rect">
            <a:avLst/>
          </a:prstGeom>
        </xdr:spPr>
      </xdr:pic>
      <xdr:pic>
        <xdr:nvPicPr>
          <xdr:cNvPr id="38" name="图片 54"/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410315" y="6301694"/>
            <a:ext cx="408433" cy="487681"/>
          </a:xfrm>
          <a:prstGeom prst="rect">
            <a:avLst/>
          </a:prstGeom>
        </xdr:spPr>
      </xdr:pic>
      <xdr:pic>
        <xdr:nvPicPr>
          <xdr:cNvPr id="39" name="图片 58"/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45738" y="5914741"/>
            <a:ext cx="944882" cy="856490"/>
          </a:xfrm>
          <a:prstGeom prst="rect">
            <a:avLst/>
          </a:prstGeom>
        </xdr:spPr>
      </xdr:pic>
      <xdr:pic>
        <xdr:nvPicPr>
          <xdr:cNvPr id="40" name="图片 59"/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505057" y="6072437"/>
            <a:ext cx="905258" cy="777242"/>
          </a:xfrm>
          <a:prstGeom prst="rect">
            <a:avLst/>
          </a:prstGeom>
        </xdr:spPr>
      </xdr:pic>
      <xdr:pic>
        <xdr:nvPicPr>
          <xdr:cNvPr id="41" name="图片 60"/>
          <xdr:cNvPicPr>
            <a:picLocks noChangeAspect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919908" y="5865429"/>
            <a:ext cx="1059888" cy="1040791"/>
          </a:xfrm>
          <a:prstGeom prst="rect">
            <a:avLst/>
          </a:prstGeom>
        </xdr:spPr>
      </xdr:pic>
      <xdr:pic>
        <xdr:nvPicPr>
          <xdr:cNvPr id="42" name="图片 61"/>
          <xdr:cNvPicPr>
            <a:picLocks noChangeAspect="1"/>
          </xdr:cNvPicPr>
        </xdr:nvPicPr>
        <xdr:blipFill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99829" y="5944436"/>
            <a:ext cx="806576" cy="841864"/>
          </a:xfrm>
          <a:prstGeom prst="rect">
            <a:avLst/>
          </a:prstGeom>
        </xdr:spPr>
      </xdr:pic>
      <xdr:pic>
        <xdr:nvPicPr>
          <xdr:cNvPr id="43" name="图片 62"/>
          <xdr:cNvPicPr>
            <a:picLocks noChangeAspect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89637" y="6269187"/>
            <a:ext cx="701041" cy="637033"/>
          </a:xfrm>
          <a:prstGeom prst="rect">
            <a:avLst/>
          </a:prstGeom>
        </xdr:spPr>
      </xdr:pic>
      <xdr:pic>
        <xdr:nvPicPr>
          <xdr:cNvPr id="44" name="图片 63"/>
          <xdr:cNvPicPr>
            <a:picLocks noChangeAspect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15125" y="6072437"/>
            <a:ext cx="530353" cy="640081"/>
          </a:xfrm>
          <a:prstGeom prst="rect">
            <a:avLst/>
          </a:prstGeom>
        </xdr:spPr>
      </xdr:pic>
      <xdr:pic>
        <xdr:nvPicPr>
          <xdr:cNvPr id="45" name="图片 64"/>
          <xdr:cNvPicPr>
            <a:picLocks noChangeAspect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02151" y="6124910"/>
            <a:ext cx="835154" cy="664465"/>
          </a:xfrm>
          <a:prstGeom prst="rect">
            <a:avLst/>
          </a:prstGeom>
        </xdr:spPr>
      </xdr:pic>
      <xdr:pic>
        <xdr:nvPicPr>
          <xdr:cNvPr id="46" name="图片 66"/>
          <xdr:cNvPicPr>
            <a:picLocks noChangeAspect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25757" y="6086782"/>
            <a:ext cx="493777" cy="448057"/>
          </a:xfrm>
          <a:prstGeom prst="rect">
            <a:avLst/>
          </a:prstGeom>
        </xdr:spPr>
      </xdr:pic>
      <xdr:pic>
        <xdr:nvPicPr>
          <xdr:cNvPr id="47" name="图片 67"/>
          <xdr:cNvPicPr>
            <a:picLocks noChangeAspect="1"/>
          </xdr:cNvPicPr>
        </xdr:nvPicPr>
        <xdr:blipFill>
          <a:blip xmlns:r="http://schemas.openxmlformats.org/officeDocument/2006/relationships" r:embed="rId3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340" y="6338269"/>
            <a:ext cx="429769" cy="414529"/>
          </a:xfrm>
          <a:prstGeom prst="rect">
            <a:avLst/>
          </a:prstGeom>
        </xdr:spPr>
      </xdr:pic>
      <xdr:pic>
        <xdr:nvPicPr>
          <xdr:cNvPr id="48" name="图片 68"/>
          <xdr:cNvPicPr>
            <a:picLocks noChangeAspect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69690" y="6334718"/>
            <a:ext cx="569977" cy="505969"/>
          </a:xfrm>
          <a:prstGeom prst="rect">
            <a:avLst/>
          </a:prstGeom>
        </xdr:spPr>
      </xdr:pic>
      <xdr:pic>
        <xdr:nvPicPr>
          <xdr:cNvPr id="49" name="图片 69"/>
          <xdr:cNvPicPr>
            <a:picLocks noChangeAspect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70294" y="6146979"/>
            <a:ext cx="798578" cy="752858"/>
          </a:xfrm>
          <a:prstGeom prst="rect">
            <a:avLst/>
          </a:prstGeom>
        </xdr:spPr>
      </xdr:pic>
      <xdr:pic>
        <xdr:nvPicPr>
          <xdr:cNvPr id="50" name="图片 70"/>
          <xdr:cNvPicPr>
            <a:picLocks noChangeAspect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36889" y="6315037"/>
            <a:ext cx="481585" cy="563881"/>
          </a:xfrm>
          <a:prstGeom prst="rect">
            <a:avLst/>
          </a:prstGeom>
        </xdr:spPr>
      </xdr:pic>
      <xdr:pic>
        <xdr:nvPicPr>
          <xdr:cNvPr id="51" name="图片 71"/>
          <xdr:cNvPicPr>
            <a:picLocks noChangeAspect="1"/>
          </xdr:cNvPicPr>
        </xdr:nvPicPr>
        <xdr:blipFill>
          <a:blip xmlns:r="http://schemas.openxmlformats.org/officeDocument/2006/relationships" r:embed="rId3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45728" y="6209584"/>
            <a:ext cx="536449" cy="573025"/>
          </a:xfrm>
          <a:prstGeom prst="rect">
            <a:avLst/>
          </a:prstGeom>
        </xdr:spPr>
      </xdr:pic>
      <xdr:pic>
        <xdr:nvPicPr>
          <xdr:cNvPr id="52" name="图片 73"/>
          <xdr:cNvPicPr>
            <a:picLocks noChangeAspect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1545" y="6143778"/>
            <a:ext cx="569977" cy="505969"/>
          </a:xfrm>
          <a:prstGeom prst="rect">
            <a:avLst/>
          </a:prstGeom>
        </xdr:spPr>
      </xdr:pic>
      <xdr:pic>
        <xdr:nvPicPr>
          <xdr:cNvPr id="53" name="图片 75"/>
          <xdr:cNvPicPr>
            <a:picLocks noChangeAspect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127382" y="5932215"/>
            <a:ext cx="481585" cy="563881"/>
          </a:xfrm>
          <a:prstGeom prst="rect">
            <a:avLst/>
          </a:prstGeom>
        </xdr:spPr>
      </xdr:pic>
    </xdr:grpSp>
    <xdr:clientData/>
  </xdr:twoCellAnchor>
  <xdr:oneCellAnchor>
    <xdr:from>
      <xdr:col>4</xdr:col>
      <xdr:colOff>576636</xdr:colOff>
      <xdr:row>0</xdr:row>
      <xdr:rowOff>7931</xdr:rowOff>
    </xdr:from>
    <xdr:ext cx="4076608" cy="757515"/>
    <xdr:sp macro="" textlink="">
      <xdr:nvSpPr>
        <xdr:cNvPr id="54" name="文字方塊 53"/>
        <xdr:cNvSpPr txBox="1"/>
      </xdr:nvSpPr>
      <xdr:spPr>
        <a:xfrm>
          <a:off x="3310871" y="7931"/>
          <a:ext cx="4076608" cy="757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zh-TW" sz="3000" b="1">
              <a:solidFill>
                <a:schemeClr val="accent4">
                  <a:lumMod val="75000"/>
                </a:schemeClr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109</a:t>
          </a:r>
          <a:r>
            <a:rPr lang="zh-TW" altLang="zh-TW" sz="3000" b="1">
              <a:solidFill>
                <a:schemeClr val="accent4">
                  <a:lumMod val="75000"/>
                </a:schemeClr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年</a:t>
          </a:r>
          <a:r>
            <a:rPr lang="en-US" altLang="zh-TW" sz="3000" b="1">
              <a:solidFill>
                <a:schemeClr val="accent4">
                  <a:lumMod val="75000"/>
                </a:schemeClr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09</a:t>
          </a:r>
          <a:r>
            <a:rPr lang="zh-TW" altLang="zh-TW" sz="3000" b="1">
              <a:solidFill>
                <a:schemeClr val="accent4">
                  <a:lumMod val="75000"/>
                </a:schemeClr>
              </a:solidFill>
              <a:effectLst/>
              <a:latin typeface="微軟正黑體" pitchFamily="34" charset="-120"/>
              <a:ea typeface="微軟正黑體" pitchFamily="34" charset="-120"/>
              <a:cs typeface="+mn-cs"/>
            </a:rPr>
            <a:t>月午餐菜單</a:t>
          </a:r>
          <a:endParaRPr lang="zh-TW" altLang="zh-TW" sz="3000">
            <a:solidFill>
              <a:schemeClr val="accent4">
                <a:lumMod val="75000"/>
              </a:schemeClr>
            </a:solidFill>
            <a:effectLst/>
            <a:latin typeface="微軟正黑體" pitchFamily="34" charset="-120"/>
            <a:ea typeface="微軟正黑體" pitchFamily="34" charset="-120"/>
          </a:endParaRPr>
        </a:p>
      </xdr:txBody>
    </xdr:sp>
    <xdr:clientData/>
  </xdr:oneCellAnchor>
  <xdr:oneCellAnchor>
    <xdr:from>
      <xdr:col>5</xdr:col>
      <xdr:colOff>353449</xdr:colOff>
      <xdr:row>0</xdr:row>
      <xdr:rowOff>484177</xdr:rowOff>
    </xdr:from>
    <xdr:ext cx="2693430" cy="491417"/>
    <xdr:sp macro="" textlink="">
      <xdr:nvSpPr>
        <xdr:cNvPr id="55" name="文字方塊 54"/>
        <xdr:cNvSpPr txBox="1"/>
      </xdr:nvSpPr>
      <xdr:spPr>
        <a:xfrm>
          <a:off x="3894508" y="484177"/>
          <a:ext cx="2693430" cy="4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800" b="1">
              <a:solidFill>
                <a:schemeClr val="tx2">
                  <a:lumMod val="75000"/>
                </a:schemeClr>
              </a:solidFill>
              <a:latin typeface="微軟正黑體" pitchFamily="34" charset="-120"/>
              <a:ea typeface="微軟正黑體" pitchFamily="34" charset="-120"/>
            </a:rPr>
            <a:t>-</a:t>
          </a:r>
          <a:r>
            <a:rPr lang="en-US" altLang="zh-TW" sz="1800" b="1" baseline="0">
              <a:solidFill>
                <a:schemeClr val="tx2">
                  <a:lumMod val="75000"/>
                </a:schemeClr>
              </a:solidFill>
              <a:latin typeface="微軟正黑體" pitchFamily="34" charset="-120"/>
              <a:ea typeface="微軟正黑體" pitchFamily="34" charset="-120"/>
            </a:rPr>
            <a:t> </a:t>
          </a:r>
          <a:r>
            <a:rPr lang="zh-TW" altLang="en-US" sz="1800" b="1">
              <a:solidFill>
                <a:schemeClr val="tx2">
                  <a:lumMod val="75000"/>
                </a:schemeClr>
              </a:solidFill>
              <a:latin typeface="微軟正黑體" pitchFamily="34" charset="-120"/>
              <a:ea typeface="微軟正黑體" pitchFamily="34" charset="-120"/>
            </a:rPr>
            <a:t>貝 佳 實 業 有 限 公司 </a:t>
          </a:r>
          <a:r>
            <a:rPr lang="en-US" altLang="zh-TW" sz="1800" b="1">
              <a:solidFill>
                <a:schemeClr val="tx2">
                  <a:lumMod val="75000"/>
                </a:schemeClr>
              </a:solidFill>
              <a:latin typeface="微軟正黑體" pitchFamily="34" charset="-120"/>
              <a:ea typeface="微軟正黑體" pitchFamily="34" charset="-120"/>
            </a:rPr>
            <a:t>-</a:t>
          </a:r>
          <a:endParaRPr lang="zh-TW" altLang="en-US" sz="1800" b="1">
            <a:solidFill>
              <a:schemeClr val="tx2">
                <a:lumMod val="75000"/>
              </a:schemeClr>
            </a:solidFill>
            <a:latin typeface="微軟正黑體" pitchFamily="34" charset="-120"/>
            <a:ea typeface="微軟正黑體" pitchFamily="34" charset="-120"/>
          </a:endParaRPr>
        </a:p>
      </xdr:txBody>
    </xdr:sp>
    <xdr:clientData/>
  </xdr:oneCellAnchor>
  <xdr:oneCellAnchor>
    <xdr:from>
      <xdr:col>3</xdr:col>
      <xdr:colOff>95271</xdr:colOff>
      <xdr:row>0</xdr:row>
      <xdr:rowOff>0</xdr:rowOff>
    </xdr:from>
    <xdr:ext cx="1920876" cy="1426031"/>
    <xdr:sp macro="" textlink="">
      <xdr:nvSpPr>
        <xdr:cNvPr id="56" name="文字方塊 55"/>
        <xdr:cNvSpPr txBox="1"/>
      </xdr:nvSpPr>
      <xdr:spPr>
        <a:xfrm>
          <a:off x="2022683" y="0"/>
          <a:ext cx="1920876" cy="14260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TW" altLang="en-US" sz="4000" b="1" cap="none" spc="0">
              <a:ln>
                <a:noFill/>
              </a:ln>
              <a:solidFill>
                <a:schemeClr val="tx2">
                  <a:lumMod val="75000"/>
                </a:schemeClr>
              </a:solidFill>
              <a:effectLst/>
              <a:latin typeface="標楷體" pitchFamily="65" charset="-120"/>
              <a:ea typeface="標楷體" pitchFamily="65" charset="-120"/>
            </a:rPr>
            <a:t>興大</a:t>
          </a:r>
          <a:endParaRPr lang="en-US" altLang="zh-TW" sz="4000" b="1" cap="none" spc="0">
            <a:ln>
              <a:noFill/>
            </a:ln>
            <a:solidFill>
              <a:schemeClr val="tx2">
                <a:lumMod val="75000"/>
              </a:schemeClr>
            </a:solidFill>
            <a:effectLst/>
            <a:latin typeface="標楷體" pitchFamily="65" charset="-120"/>
            <a:ea typeface="標楷體" pitchFamily="65" charset="-120"/>
          </a:endParaRPr>
        </a:p>
        <a:p>
          <a:r>
            <a:rPr lang="zh-TW" altLang="en-US" sz="4000" b="1" cap="none" spc="0">
              <a:ln>
                <a:noFill/>
              </a:ln>
              <a:solidFill>
                <a:schemeClr val="tx2">
                  <a:lumMod val="75000"/>
                </a:schemeClr>
              </a:solidFill>
              <a:effectLst/>
              <a:latin typeface="標楷體" pitchFamily="65" charset="-120"/>
              <a:ea typeface="標楷體" pitchFamily="65" charset="-120"/>
            </a:rPr>
            <a:t>附農</a:t>
          </a:r>
          <a:endParaRPr lang="en-US" altLang="zh-TW" sz="4000" b="1" cap="none" spc="0">
            <a:ln>
              <a:noFill/>
            </a:ln>
            <a:solidFill>
              <a:schemeClr val="tx2">
                <a:lumMod val="75000"/>
              </a:schemeClr>
            </a:solidFill>
            <a:effectLst/>
            <a:latin typeface="標楷體" pitchFamily="65" charset="-120"/>
            <a:ea typeface="標楷體" pitchFamily="65" charset="-120"/>
          </a:endParaRPr>
        </a:p>
      </xdr:txBody>
    </xdr:sp>
    <xdr:clientData/>
  </xdr:oneCellAnchor>
  <xdr:twoCellAnchor>
    <xdr:from>
      <xdr:col>10</xdr:col>
      <xdr:colOff>205319</xdr:colOff>
      <xdr:row>0</xdr:row>
      <xdr:rowOff>1068810</xdr:rowOff>
    </xdr:from>
    <xdr:to>
      <xdr:col>10</xdr:col>
      <xdr:colOff>441341</xdr:colOff>
      <xdr:row>0</xdr:row>
      <xdr:rowOff>1287170</xdr:rowOff>
    </xdr:to>
    <xdr:pic>
      <xdr:nvPicPr>
        <xdr:cNvPr id="57" name="图片 53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0495" y="1068810"/>
          <a:ext cx="236022" cy="218360"/>
        </a:xfrm>
        <a:prstGeom prst="rect">
          <a:avLst/>
        </a:prstGeom>
      </xdr:spPr>
    </xdr:pic>
    <xdr:clientData/>
  </xdr:twoCellAnchor>
  <xdr:twoCellAnchor>
    <xdr:from>
      <xdr:col>11</xdr:col>
      <xdr:colOff>695065</xdr:colOff>
      <xdr:row>0</xdr:row>
      <xdr:rowOff>970178</xdr:rowOff>
    </xdr:from>
    <xdr:to>
      <xdr:col>12</xdr:col>
      <xdr:colOff>395409</xdr:colOff>
      <xdr:row>0</xdr:row>
      <xdr:rowOff>1320197</xdr:rowOff>
    </xdr:to>
    <xdr:pic>
      <xdr:nvPicPr>
        <xdr:cNvPr id="58" name="图片 6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065" y="970178"/>
          <a:ext cx="507168" cy="350019"/>
        </a:xfrm>
        <a:prstGeom prst="rect">
          <a:avLst/>
        </a:prstGeom>
      </xdr:spPr>
    </xdr:pic>
    <xdr:clientData/>
  </xdr:twoCellAnchor>
  <xdr:twoCellAnchor>
    <xdr:from>
      <xdr:col>11</xdr:col>
      <xdr:colOff>128055</xdr:colOff>
      <xdr:row>0</xdr:row>
      <xdr:rowOff>950094</xdr:rowOff>
    </xdr:from>
    <xdr:to>
      <xdr:col>11</xdr:col>
      <xdr:colOff>388161</xdr:colOff>
      <xdr:row>0</xdr:row>
      <xdr:rowOff>1186116</xdr:rowOff>
    </xdr:to>
    <xdr:pic>
      <xdr:nvPicPr>
        <xdr:cNvPr id="59" name="图片 66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0055" y="950094"/>
          <a:ext cx="260106" cy="236022"/>
        </a:xfrm>
        <a:prstGeom prst="rect">
          <a:avLst/>
        </a:prstGeom>
      </xdr:spPr>
    </xdr:pic>
    <xdr:clientData/>
  </xdr:twoCellAnchor>
  <xdr:twoCellAnchor>
    <xdr:from>
      <xdr:col>11</xdr:col>
      <xdr:colOff>337379</xdr:colOff>
      <xdr:row>0</xdr:row>
      <xdr:rowOff>1065757</xdr:rowOff>
    </xdr:from>
    <xdr:to>
      <xdr:col>11</xdr:col>
      <xdr:colOff>637624</xdr:colOff>
      <xdr:row>0</xdr:row>
      <xdr:rowOff>1332285</xdr:rowOff>
    </xdr:to>
    <xdr:pic>
      <xdr:nvPicPr>
        <xdr:cNvPr id="60" name="图片 68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9379" y="1065757"/>
          <a:ext cx="300245" cy="266528"/>
        </a:xfrm>
        <a:prstGeom prst="rect">
          <a:avLst/>
        </a:prstGeom>
      </xdr:spPr>
    </xdr:pic>
    <xdr:clientData/>
  </xdr:twoCellAnchor>
  <xdr:twoCellAnchor>
    <xdr:from>
      <xdr:col>11</xdr:col>
      <xdr:colOff>28566</xdr:colOff>
      <xdr:row>0</xdr:row>
      <xdr:rowOff>1070331</xdr:rowOff>
    </xdr:from>
    <xdr:to>
      <xdr:col>11</xdr:col>
      <xdr:colOff>282249</xdr:colOff>
      <xdr:row>1</xdr:row>
      <xdr:rowOff>247</xdr:rowOff>
    </xdr:to>
    <xdr:pic>
      <xdr:nvPicPr>
        <xdr:cNvPr id="61" name="图片 70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66" y="1070331"/>
          <a:ext cx="253683" cy="297034"/>
        </a:xfrm>
        <a:prstGeom prst="rect">
          <a:avLst/>
        </a:prstGeom>
      </xdr:spPr>
    </xdr:pic>
    <xdr:clientData/>
  </xdr:twoCellAnchor>
  <xdr:twoCellAnchor>
    <xdr:from>
      <xdr:col>10</xdr:col>
      <xdr:colOff>509427</xdr:colOff>
      <xdr:row>0</xdr:row>
      <xdr:rowOff>1014782</xdr:rowOff>
    </xdr:from>
    <xdr:to>
      <xdr:col>11</xdr:col>
      <xdr:colOff>52422</xdr:colOff>
      <xdr:row>0</xdr:row>
      <xdr:rowOff>1316633</xdr:rowOff>
    </xdr:to>
    <xdr:pic>
      <xdr:nvPicPr>
        <xdr:cNvPr id="62" name="图片 71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603" y="1014782"/>
          <a:ext cx="349819" cy="301851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</xdr:row>
      <xdr:rowOff>11206</xdr:rowOff>
    </xdr:from>
    <xdr:to>
      <xdr:col>13</xdr:col>
      <xdr:colOff>11205</xdr:colOff>
      <xdr:row>37</xdr:row>
      <xdr:rowOff>44822</xdr:rowOff>
    </xdr:to>
    <xdr:pic>
      <xdr:nvPicPr>
        <xdr:cNvPr id="63" name="圖片 62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382000" y="3832412"/>
          <a:ext cx="1624852" cy="7474322"/>
        </a:xfrm>
        <a:prstGeom prst="rect">
          <a:avLst/>
        </a:prstGeom>
      </xdr:spPr>
    </xdr:pic>
    <xdr:clientData/>
  </xdr:twoCellAnchor>
  <xdr:twoCellAnchor editAs="oneCell">
    <xdr:from>
      <xdr:col>6</xdr:col>
      <xdr:colOff>806823</xdr:colOff>
      <xdr:row>47</xdr:row>
      <xdr:rowOff>19796</xdr:rowOff>
    </xdr:from>
    <xdr:to>
      <xdr:col>12</xdr:col>
      <xdr:colOff>795617</xdr:colOff>
      <xdr:row>54</xdr:row>
      <xdr:rowOff>201706</xdr:rowOff>
    </xdr:to>
    <xdr:pic>
      <xdr:nvPicPr>
        <xdr:cNvPr id="64" name="圖片 63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705" y="13959914"/>
          <a:ext cx="4829736" cy="1851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90"/>
  <sheetViews>
    <sheetView view="pageBreakPreview" topLeftCell="A232" zoomScaleNormal="70" zoomScaleSheetLayoutView="100" workbookViewId="0">
      <selection activeCell="Y248" sqref="Y248"/>
    </sheetView>
  </sheetViews>
  <sheetFormatPr defaultRowHeight="16.100000000000001"/>
  <cols>
    <col min="1" max="1" width="3.5" style="183" customWidth="1"/>
    <col min="2" max="2" width="7.69921875" customWidth="1"/>
    <col min="3" max="3" width="6.3984375" style="46" customWidth="1"/>
    <col min="4" max="4" width="8.59765625" customWidth="1"/>
    <col min="5" max="5" width="6.3984375" style="46" customWidth="1"/>
    <col min="6" max="6" width="8.69921875" customWidth="1"/>
    <col min="7" max="7" width="6.3984375" style="46" customWidth="1"/>
    <col min="8" max="8" width="6.8984375" customWidth="1"/>
    <col min="9" max="9" width="6.5" style="46" customWidth="1"/>
    <col min="10" max="10" width="7.5" customWidth="1"/>
    <col min="11" max="11" width="6.59765625" style="46" customWidth="1"/>
    <col min="12" max="12" width="6.59765625" customWidth="1"/>
    <col min="13" max="13" width="6.3984375" style="184" customWidth="1"/>
    <col min="14" max="14" width="7.3984375" hidden="1" customWidth="1"/>
    <col min="15" max="15" width="18" hidden="1" customWidth="1"/>
    <col min="16" max="16" width="5.59765625" hidden="1" customWidth="1"/>
    <col min="17" max="17" width="4.3984375" hidden="1" customWidth="1"/>
    <col min="18" max="18" width="7.5" hidden="1" customWidth="1"/>
    <col min="19" max="21" width="8.8984375" hidden="1" customWidth="1"/>
    <col min="22" max="22" width="0" hidden="1" customWidth="1"/>
    <col min="23" max="23" width="7.3984375" customWidth="1"/>
    <col min="24" max="24" width="17.5" customWidth="1"/>
    <col min="25" max="25" width="6.8984375" customWidth="1"/>
    <col min="26" max="26" width="5.59765625" customWidth="1"/>
    <col min="28" max="28" width="7.59765625" customWidth="1"/>
  </cols>
  <sheetData>
    <row r="1" spans="1:30" ht="22.75" thickBot="1">
      <c r="A1" s="211" t="s">
        <v>216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1"/>
    </row>
    <row r="2" spans="1:30" ht="33.799999999999997" thickBot="1">
      <c r="A2" s="2" t="s">
        <v>217</v>
      </c>
      <c r="B2" s="3" t="s">
        <v>218</v>
      </c>
      <c r="C2" s="4" t="s">
        <v>219</v>
      </c>
      <c r="D2" s="3" t="s">
        <v>220</v>
      </c>
      <c r="E2" s="4" t="s">
        <v>219</v>
      </c>
      <c r="F2" s="3" t="s">
        <v>220</v>
      </c>
      <c r="G2" s="4" t="s">
        <v>219</v>
      </c>
      <c r="H2" s="5" t="s">
        <v>221</v>
      </c>
      <c r="I2" s="4" t="s">
        <v>219</v>
      </c>
      <c r="J2" s="3" t="s">
        <v>222</v>
      </c>
      <c r="K2" s="4" t="s">
        <v>219</v>
      </c>
      <c r="L2" s="3" t="s">
        <v>223</v>
      </c>
      <c r="M2" s="4" t="s">
        <v>219</v>
      </c>
      <c r="N2" s="4" t="s">
        <v>224</v>
      </c>
      <c r="O2" s="212" t="s">
        <v>225</v>
      </c>
      <c r="P2" s="213"/>
      <c r="Q2" s="213"/>
      <c r="R2" s="213"/>
      <c r="S2" s="213"/>
      <c r="T2" s="213"/>
      <c r="U2" s="214"/>
      <c r="W2" s="4" t="s">
        <v>224</v>
      </c>
      <c r="X2" s="212" t="s">
        <v>225</v>
      </c>
      <c r="Y2" s="213"/>
      <c r="Z2" s="213"/>
      <c r="AA2" s="213"/>
      <c r="AB2" s="213"/>
      <c r="AC2" s="213"/>
      <c r="AD2" s="214"/>
    </row>
    <row r="3" spans="1:30" ht="16.2" customHeight="1" thickBot="1">
      <c r="A3" s="215">
        <v>44067</v>
      </c>
      <c r="B3" s="217"/>
      <c r="C3" s="218"/>
      <c r="D3" s="219"/>
      <c r="E3" s="220"/>
      <c r="F3" s="217"/>
      <c r="G3" s="218"/>
      <c r="H3" s="217"/>
      <c r="I3" s="218"/>
      <c r="J3" s="217"/>
      <c r="K3" s="218"/>
      <c r="L3" s="221"/>
      <c r="M3" s="222"/>
      <c r="N3" s="6" t="s">
        <v>229</v>
      </c>
      <c r="O3" s="7" t="s">
        <v>0</v>
      </c>
      <c r="P3" s="8">
        <v>0</v>
      </c>
      <c r="Q3" s="9" t="s">
        <v>230</v>
      </c>
      <c r="R3" s="10" t="s">
        <v>231</v>
      </c>
      <c r="S3" s="11">
        <f>P9</f>
        <v>0</v>
      </c>
      <c r="T3" s="9" t="s">
        <v>232</v>
      </c>
      <c r="U3" s="12" t="s">
        <v>233</v>
      </c>
      <c r="W3" s="6" t="s">
        <v>234</v>
      </c>
      <c r="X3" s="205" t="s">
        <v>235</v>
      </c>
      <c r="Y3" s="206"/>
      <c r="Z3" s="207"/>
      <c r="AA3" s="208" t="s">
        <v>236</v>
      </c>
      <c r="AB3" s="209"/>
      <c r="AC3" s="209"/>
      <c r="AD3" s="210"/>
    </row>
    <row r="4" spans="1:30" ht="16.2" customHeight="1">
      <c r="A4" s="216"/>
      <c r="B4" s="13"/>
      <c r="C4" s="14"/>
      <c r="D4" s="15"/>
      <c r="E4" s="16"/>
      <c r="F4" s="17"/>
      <c r="G4" s="18"/>
      <c r="H4" s="19"/>
      <c r="I4" s="20"/>
      <c r="J4" s="17"/>
      <c r="K4" s="18"/>
      <c r="L4" s="21"/>
      <c r="M4" s="18"/>
      <c r="N4" s="22">
        <f>S4</f>
        <v>0</v>
      </c>
      <c r="O4" s="23" t="s">
        <v>5</v>
      </c>
      <c r="P4" s="24">
        <v>0</v>
      </c>
      <c r="Q4" s="25" t="s">
        <v>242</v>
      </c>
      <c r="R4" s="26" t="s">
        <v>243</v>
      </c>
      <c r="S4" s="27">
        <f>P3*15+P5*5+P6*15+P7*12</f>
        <v>0</v>
      </c>
      <c r="T4" s="25" t="s">
        <v>244</v>
      </c>
      <c r="U4" s="28" t="e">
        <f>S4*4/S3</f>
        <v>#DIV/0!</v>
      </c>
      <c r="W4" s="22" t="e">
        <f>#REF!</f>
        <v>#REF!</v>
      </c>
      <c r="X4" s="29" t="s">
        <v>0</v>
      </c>
      <c r="Y4" s="8"/>
      <c r="Z4" s="9" t="s">
        <v>230</v>
      </c>
      <c r="AA4" s="10" t="s">
        <v>231</v>
      </c>
      <c r="AB4" s="11">
        <f>Y10</f>
        <v>108</v>
      </c>
      <c r="AC4" s="9" t="s">
        <v>232</v>
      </c>
      <c r="AD4" s="12" t="s">
        <v>233</v>
      </c>
    </row>
    <row r="5" spans="1:30" ht="16.2" customHeight="1">
      <c r="A5" s="216"/>
      <c r="B5" s="31"/>
      <c r="C5" s="32"/>
      <c r="D5" s="33"/>
      <c r="E5" s="34"/>
      <c r="F5" s="13"/>
      <c r="G5" s="35"/>
      <c r="H5" s="13"/>
      <c r="I5" s="34"/>
      <c r="J5" s="13"/>
      <c r="K5" s="14"/>
      <c r="L5" s="21"/>
      <c r="M5" s="35"/>
      <c r="N5" s="36" t="s">
        <v>247</v>
      </c>
      <c r="O5" s="37" t="s">
        <v>248</v>
      </c>
      <c r="P5" s="24">
        <v>0</v>
      </c>
      <c r="Q5" s="25" t="s">
        <v>242</v>
      </c>
      <c r="R5" s="26" t="s">
        <v>249</v>
      </c>
      <c r="S5" s="27">
        <f>P4*5+P7*4+P8*5</f>
        <v>0</v>
      </c>
      <c r="T5" s="25" t="s">
        <v>244</v>
      </c>
      <c r="U5" s="28" t="e">
        <f>S5*9/S3</f>
        <v>#DIV/0!</v>
      </c>
      <c r="W5" s="36" t="s">
        <v>247</v>
      </c>
      <c r="X5" s="23" t="s">
        <v>5</v>
      </c>
      <c r="Y5" s="24"/>
      <c r="Z5" s="25" t="s">
        <v>242</v>
      </c>
      <c r="AA5" s="26" t="s">
        <v>243</v>
      </c>
      <c r="AB5" s="27">
        <f>Y4*15+Y6*5+Y7*15+Y8*12</f>
        <v>0</v>
      </c>
      <c r="AC5" s="25" t="s">
        <v>244</v>
      </c>
      <c r="AD5" s="28">
        <f>AB5*4/AB4</f>
        <v>0</v>
      </c>
    </row>
    <row r="6" spans="1:30" ht="16.2" customHeight="1">
      <c r="A6" s="216"/>
      <c r="B6" s="33"/>
      <c r="C6" s="38"/>
      <c r="D6" s="33"/>
      <c r="E6" s="38"/>
      <c r="F6" s="33"/>
      <c r="G6" s="34"/>
      <c r="H6" s="39"/>
      <c r="I6" s="14"/>
      <c r="J6" s="40"/>
      <c r="K6" s="35"/>
      <c r="L6" s="21"/>
      <c r="M6" s="35"/>
      <c r="N6" s="22">
        <f>S5</f>
        <v>0</v>
      </c>
      <c r="O6" s="41" t="s">
        <v>254</v>
      </c>
      <c r="P6" s="42">
        <v>0</v>
      </c>
      <c r="Q6" s="25" t="s">
        <v>230</v>
      </c>
      <c r="R6" s="26" t="s">
        <v>255</v>
      </c>
      <c r="S6" s="27">
        <f>P3*2+P4*7+P5*1+P7*8</f>
        <v>0</v>
      </c>
      <c r="T6" s="25" t="s">
        <v>256</v>
      </c>
      <c r="U6" s="28" t="e">
        <f>S6*4/S3</f>
        <v>#DIV/0!</v>
      </c>
      <c r="W6" s="22" t="e">
        <f>#REF!</f>
        <v>#REF!</v>
      </c>
      <c r="X6" s="37" t="s">
        <v>248</v>
      </c>
      <c r="Y6" s="24"/>
      <c r="Z6" s="25" t="s">
        <v>242</v>
      </c>
      <c r="AA6" s="26" t="s">
        <v>249</v>
      </c>
      <c r="AB6" s="27">
        <f>Y5*5+Y8*4+Y9*5</f>
        <v>12</v>
      </c>
      <c r="AC6" s="25" t="s">
        <v>244</v>
      </c>
      <c r="AD6" s="28">
        <f>AB6*9/AB4</f>
        <v>1</v>
      </c>
    </row>
    <row r="7" spans="1:30" ht="16.2" customHeight="1">
      <c r="A7" s="216"/>
      <c r="B7" s="43"/>
      <c r="C7" s="44"/>
      <c r="D7" s="45"/>
      <c r="E7" s="35"/>
      <c r="F7" s="13"/>
      <c r="G7" s="14"/>
      <c r="H7" s="39"/>
      <c r="I7" s="14"/>
      <c r="L7" s="47"/>
      <c r="M7" s="48"/>
      <c r="N7" s="36" t="s">
        <v>259</v>
      </c>
      <c r="O7" s="49" t="s">
        <v>9</v>
      </c>
      <c r="P7" s="42">
        <v>0</v>
      </c>
      <c r="Q7" s="25" t="s">
        <v>242</v>
      </c>
      <c r="R7" s="50"/>
      <c r="S7" s="50"/>
      <c r="T7" s="50"/>
      <c r="U7" s="51" t="e">
        <f>SUM(U4:U6)</f>
        <v>#DIV/0!</v>
      </c>
      <c r="W7" s="36" t="s">
        <v>260</v>
      </c>
      <c r="X7" s="49" t="s">
        <v>261</v>
      </c>
      <c r="Y7" s="42">
        <v>0</v>
      </c>
      <c r="Z7" s="25" t="s">
        <v>262</v>
      </c>
      <c r="AA7" s="26" t="s">
        <v>263</v>
      </c>
      <c r="AB7" s="27">
        <f>Y4*2+Y5*7+Y6*1+Y8*8</f>
        <v>0</v>
      </c>
      <c r="AC7" s="25" t="s">
        <v>264</v>
      </c>
      <c r="AD7" s="28">
        <f>AB7*4/AB4</f>
        <v>0</v>
      </c>
    </row>
    <row r="8" spans="1:30" ht="16.2" customHeight="1">
      <c r="A8" s="227" t="s">
        <v>267</v>
      </c>
      <c r="B8" s="43"/>
      <c r="C8" s="53"/>
      <c r="D8" s="47"/>
      <c r="E8" s="48"/>
      <c r="F8" s="13"/>
      <c r="G8" s="14"/>
      <c r="H8" s="39"/>
      <c r="I8" s="14"/>
      <c r="J8" s="54"/>
      <c r="K8" s="35"/>
      <c r="L8" s="39"/>
      <c r="M8" s="35"/>
      <c r="N8" s="22">
        <f>S6</f>
        <v>0</v>
      </c>
      <c r="O8" s="55" t="s">
        <v>269</v>
      </c>
      <c r="P8" s="42">
        <v>0</v>
      </c>
      <c r="Q8" s="25" t="s">
        <v>262</v>
      </c>
      <c r="R8" s="56"/>
      <c r="S8" s="56"/>
      <c r="T8" s="56"/>
      <c r="U8" s="57"/>
      <c r="W8" s="22" t="e">
        <f>#REF!</f>
        <v>#REF!</v>
      </c>
      <c r="X8" s="49" t="s">
        <v>9</v>
      </c>
      <c r="Y8" s="42">
        <v>0</v>
      </c>
      <c r="Z8" s="25" t="s">
        <v>262</v>
      </c>
      <c r="AA8" s="50"/>
      <c r="AB8" s="50"/>
      <c r="AC8" s="50"/>
      <c r="AD8" s="51">
        <f>SUM(AD5:AD7)</f>
        <v>1</v>
      </c>
    </row>
    <row r="9" spans="1:30" ht="16.2" customHeight="1" thickBot="1">
      <c r="A9" s="227"/>
      <c r="B9" s="43"/>
      <c r="C9" s="53"/>
      <c r="D9" s="45"/>
      <c r="E9" s="48"/>
      <c r="F9" s="21"/>
      <c r="G9" s="35"/>
      <c r="H9" s="39"/>
      <c r="I9" s="14"/>
      <c r="J9" s="58"/>
      <c r="K9" s="35"/>
      <c r="L9" s="21"/>
      <c r="M9" s="35"/>
      <c r="N9" s="36" t="s">
        <v>272</v>
      </c>
      <c r="O9" s="59" t="s">
        <v>273</v>
      </c>
      <c r="P9" s="60">
        <f>P3*68+P4*73+P5*24+P6*60+P7*112+P8*45</f>
        <v>0</v>
      </c>
      <c r="Q9" s="61" t="s">
        <v>274</v>
      </c>
      <c r="R9" s="62"/>
      <c r="S9" s="62"/>
      <c r="T9" s="62"/>
      <c r="U9" s="63"/>
      <c r="W9" s="36" t="s">
        <v>272</v>
      </c>
      <c r="X9" s="55" t="s">
        <v>269</v>
      </c>
      <c r="Y9" s="42">
        <v>2.4</v>
      </c>
      <c r="Z9" s="25" t="s">
        <v>262</v>
      </c>
      <c r="AA9" s="56"/>
      <c r="AB9" s="56"/>
      <c r="AC9" s="56"/>
      <c r="AD9" s="57"/>
    </row>
    <row r="10" spans="1:30" ht="16.2" customHeight="1" thickBot="1">
      <c r="A10" s="228"/>
      <c r="B10" s="223"/>
      <c r="C10" s="224"/>
      <c r="D10" s="223"/>
      <c r="E10" s="224"/>
      <c r="F10" s="223"/>
      <c r="G10" s="224"/>
      <c r="H10" s="223"/>
      <c r="I10" s="224"/>
      <c r="J10" s="223"/>
      <c r="K10" s="224"/>
      <c r="L10" s="223"/>
      <c r="M10" s="224"/>
      <c r="N10" s="65">
        <f>P9</f>
        <v>0</v>
      </c>
      <c r="O10" s="66"/>
      <c r="P10" s="67"/>
      <c r="Q10" s="67"/>
      <c r="R10" s="67"/>
      <c r="S10" s="67"/>
      <c r="T10" s="67"/>
      <c r="U10" s="68"/>
      <c r="W10" s="65" t="e">
        <f>#REF!</f>
        <v>#REF!</v>
      </c>
      <c r="X10" s="59" t="s">
        <v>273</v>
      </c>
      <c r="Y10" s="60">
        <f>Y4*68+Y5*73+Y6*24+Y7*60+Y8*112+Y9*45</f>
        <v>108</v>
      </c>
      <c r="Z10" s="61" t="s">
        <v>274</v>
      </c>
      <c r="AA10" s="62"/>
      <c r="AB10" s="62"/>
      <c r="AC10" s="62"/>
      <c r="AD10" s="63"/>
    </row>
    <row r="11" spans="1:30" ht="16.2" customHeight="1" thickBot="1">
      <c r="A11" s="215">
        <f>A3+1</f>
        <v>44068</v>
      </c>
      <c r="B11" s="219"/>
      <c r="C11" s="220"/>
      <c r="D11" s="219"/>
      <c r="E11" s="220"/>
      <c r="F11" s="217"/>
      <c r="G11" s="218"/>
      <c r="H11" s="217"/>
      <c r="I11" s="218"/>
      <c r="J11" s="217"/>
      <c r="K11" s="218"/>
      <c r="L11" s="221"/>
      <c r="M11" s="222"/>
      <c r="N11" s="6" t="s">
        <v>234</v>
      </c>
      <c r="O11" s="205" t="s">
        <v>235</v>
      </c>
      <c r="P11" s="206"/>
      <c r="Q11" s="207"/>
      <c r="R11" s="208" t="s">
        <v>236</v>
      </c>
      <c r="S11" s="209"/>
      <c r="T11" s="209"/>
      <c r="U11" s="210"/>
      <c r="W11" s="6" t="s">
        <v>234</v>
      </c>
      <c r="X11" s="205" t="s">
        <v>235</v>
      </c>
      <c r="Y11" s="206"/>
      <c r="Z11" s="207"/>
      <c r="AA11" s="208" t="s">
        <v>236</v>
      </c>
      <c r="AB11" s="209"/>
      <c r="AC11" s="209"/>
      <c r="AD11" s="210"/>
    </row>
    <row r="12" spans="1:30" ht="16.2" customHeight="1">
      <c r="A12" s="216"/>
      <c r="B12" s="69"/>
      <c r="C12" s="70"/>
      <c r="D12" s="19"/>
      <c r="E12" s="71"/>
      <c r="F12" s="72"/>
      <c r="G12" s="73"/>
      <c r="H12" s="19"/>
      <c r="I12" s="20"/>
      <c r="J12" s="69"/>
      <c r="K12" s="70"/>
      <c r="L12" s="21"/>
      <c r="M12" s="18"/>
      <c r="N12" s="22">
        <f>S13</f>
        <v>0</v>
      </c>
      <c r="O12" s="7" t="s">
        <v>0</v>
      </c>
      <c r="P12" s="42">
        <f>M12/20+M13/55</f>
        <v>0</v>
      </c>
      <c r="Q12" s="9" t="s">
        <v>230</v>
      </c>
      <c r="R12" s="74" t="s">
        <v>231</v>
      </c>
      <c r="S12" s="75">
        <f>P18</f>
        <v>112.5</v>
      </c>
      <c r="T12" s="76" t="s">
        <v>232</v>
      </c>
      <c r="U12" s="77" t="s">
        <v>233</v>
      </c>
      <c r="W12" s="22" t="e">
        <f>#REF!</f>
        <v>#REF!</v>
      </c>
      <c r="X12" s="7" t="s">
        <v>0</v>
      </c>
      <c r="Y12" s="8"/>
      <c r="Z12" s="9" t="s">
        <v>242</v>
      </c>
      <c r="AA12" s="74" t="s">
        <v>287</v>
      </c>
      <c r="AB12" s="75">
        <f>Y18</f>
        <v>108</v>
      </c>
      <c r="AC12" s="76" t="s">
        <v>232</v>
      </c>
      <c r="AD12" s="77" t="s">
        <v>233</v>
      </c>
    </row>
    <row r="13" spans="1:30" ht="16.2" customHeight="1">
      <c r="A13" s="216"/>
      <c r="B13" s="39"/>
      <c r="C13" s="78"/>
      <c r="D13" s="13"/>
      <c r="E13" s="34"/>
      <c r="F13" s="79"/>
      <c r="G13" s="80"/>
      <c r="H13" s="13"/>
      <c r="I13" s="34"/>
      <c r="J13" s="21"/>
      <c r="K13" s="35"/>
      <c r="L13" s="21"/>
      <c r="M13" s="35"/>
      <c r="N13" s="36" t="s">
        <v>247</v>
      </c>
      <c r="O13" s="23" t="s">
        <v>5</v>
      </c>
      <c r="P13" s="24">
        <f>C12/35+E12/80+E13/225+E16/35+G13/55+K13*0.52/40</f>
        <v>0</v>
      </c>
      <c r="Q13" s="25" t="s">
        <v>242</v>
      </c>
      <c r="R13" s="26" t="s">
        <v>243</v>
      </c>
      <c r="S13" s="27">
        <f>P12*15+P14*5+P15*15+P16*12</f>
        <v>0</v>
      </c>
      <c r="T13" s="25" t="s">
        <v>244</v>
      </c>
      <c r="U13" s="28">
        <f>S13*4/S12</f>
        <v>0</v>
      </c>
      <c r="W13" s="36" t="s">
        <v>247</v>
      </c>
      <c r="X13" s="23" t="s">
        <v>5</v>
      </c>
      <c r="Y13" s="24"/>
      <c r="Z13" s="25" t="s">
        <v>242</v>
      </c>
      <c r="AA13" s="26" t="s">
        <v>243</v>
      </c>
      <c r="AB13" s="27">
        <f>Y12*15+Y14*5+Y15*15+Y16*12</f>
        <v>0</v>
      </c>
      <c r="AC13" s="25" t="s">
        <v>244</v>
      </c>
      <c r="AD13" s="28">
        <f>AB13*4/AB12</f>
        <v>0</v>
      </c>
    </row>
    <row r="14" spans="1:30" ht="16.2" customHeight="1">
      <c r="A14" s="216"/>
      <c r="B14" s="33"/>
      <c r="C14" s="14"/>
      <c r="D14" s="33"/>
      <c r="E14" s="71"/>
      <c r="F14" s="79"/>
      <c r="G14" s="80"/>
      <c r="H14" s="39"/>
      <c r="I14" s="14"/>
      <c r="J14" s="83"/>
      <c r="K14" s="38"/>
      <c r="L14" s="84"/>
      <c r="M14" s="85"/>
      <c r="N14" s="22">
        <f>S14</f>
        <v>12.5</v>
      </c>
      <c r="O14" s="37" t="s">
        <v>248</v>
      </c>
      <c r="P14" s="24">
        <f>(E13+E14+G12+I12+I13+K12)/100</f>
        <v>0</v>
      </c>
      <c r="Q14" s="25" t="s">
        <v>242</v>
      </c>
      <c r="R14" s="26" t="s">
        <v>249</v>
      </c>
      <c r="S14" s="27">
        <f>P13*5+P16*4+P17*5</f>
        <v>12.5</v>
      </c>
      <c r="T14" s="25" t="s">
        <v>244</v>
      </c>
      <c r="U14" s="28">
        <f>S14*9/S12</f>
        <v>1</v>
      </c>
      <c r="W14" s="22" t="e">
        <f>#REF!</f>
        <v>#REF!</v>
      </c>
      <c r="X14" s="37" t="s">
        <v>248</v>
      </c>
      <c r="Y14" s="24"/>
      <c r="Z14" s="25" t="s">
        <v>242</v>
      </c>
      <c r="AA14" s="26" t="s">
        <v>249</v>
      </c>
      <c r="AB14" s="27">
        <f>Y13*5+Y16*4+Y17*5</f>
        <v>12</v>
      </c>
      <c r="AC14" s="25" t="s">
        <v>244</v>
      </c>
      <c r="AD14" s="28">
        <f>AB14*9/AB12</f>
        <v>1</v>
      </c>
    </row>
    <row r="15" spans="1:30" ht="16.2" customHeight="1">
      <c r="A15" s="216"/>
      <c r="B15" s="13"/>
      <c r="C15" s="14"/>
      <c r="D15" s="43"/>
      <c r="E15" s="14"/>
      <c r="F15" s="79"/>
      <c r="G15" s="71"/>
      <c r="H15" s="39"/>
      <c r="I15" s="14"/>
      <c r="J15" s="21"/>
      <c r="K15" s="35"/>
      <c r="L15" s="84"/>
      <c r="M15" s="85"/>
      <c r="N15" s="36" t="s">
        <v>259</v>
      </c>
      <c r="O15" s="41" t="s">
        <v>295</v>
      </c>
      <c r="P15" s="42">
        <v>0</v>
      </c>
      <c r="Q15" s="25" t="s">
        <v>242</v>
      </c>
      <c r="R15" s="26" t="s">
        <v>296</v>
      </c>
      <c r="S15" s="27">
        <f>P12*2+P13*7+P14*1+P16*8</f>
        <v>0</v>
      </c>
      <c r="T15" s="25" t="s">
        <v>244</v>
      </c>
      <c r="U15" s="28">
        <f>S15*4/S12</f>
        <v>0</v>
      </c>
      <c r="W15" s="36" t="s">
        <v>259</v>
      </c>
      <c r="X15" s="49" t="s">
        <v>295</v>
      </c>
      <c r="Y15" s="42">
        <v>0</v>
      </c>
      <c r="Z15" s="25" t="s">
        <v>242</v>
      </c>
      <c r="AA15" s="26" t="s">
        <v>296</v>
      </c>
      <c r="AB15" s="27">
        <f>Y12*2+Y13*7+Y14*1+Y16*8</f>
        <v>0</v>
      </c>
      <c r="AC15" s="25" t="s">
        <v>244</v>
      </c>
      <c r="AD15" s="28">
        <f>AB15*4/AB12</f>
        <v>0</v>
      </c>
    </row>
    <row r="16" spans="1:30" ht="16.2" customHeight="1">
      <c r="A16" s="227" t="s">
        <v>297</v>
      </c>
      <c r="B16" s="31"/>
      <c r="C16" s="32"/>
      <c r="D16" s="43"/>
      <c r="E16" s="86"/>
      <c r="F16" s="87"/>
      <c r="G16" s="88"/>
      <c r="H16" s="39"/>
      <c r="I16" s="14"/>
      <c r="J16" s="21"/>
      <c r="K16" s="35"/>
      <c r="L16" s="84"/>
      <c r="M16" s="85"/>
      <c r="N16" s="22">
        <f>S15</f>
        <v>0</v>
      </c>
      <c r="O16" s="49" t="s">
        <v>9</v>
      </c>
      <c r="P16" s="42">
        <v>0</v>
      </c>
      <c r="Q16" s="25" t="s">
        <v>262</v>
      </c>
      <c r="R16" s="50"/>
      <c r="S16" s="50"/>
      <c r="T16" s="50"/>
      <c r="U16" s="51">
        <f>SUM(U13:U15)</f>
        <v>1</v>
      </c>
      <c r="W16" s="22" t="e">
        <f>#REF!</f>
        <v>#REF!</v>
      </c>
      <c r="X16" s="49" t="s">
        <v>9</v>
      </c>
      <c r="Y16" s="42">
        <v>0</v>
      </c>
      <c r="Z16" s="25" t="s">
        <v>262</v>
      </c>
      <c r="AA16" s="50"/>
      <c r="AB16" s="50"/>
      <c r="AC16" s="50"/>
      <c r="AD16" s="51">
        <f>SUM(AD13:AD15)</f>
        <v>1</v>
      </c>
    </row>
    <row r="17" spans="1:30" ht="16.2" customHeight="1">
      <c r="A17" s="227"/>
      <c r="B17" s="31"/>
      <c r="C17" s="32"/>
      <c r="D17" s="13"/>
      <c r="E17" s="14"/>
      <c r="F17" s="87"/>
      <c r="G17" s="88"/>
      <c r="H17" s="39"/>
      <c r="I17" s="14"/>
      <c r="J17" s="21"/>
      <c r="K17" s="35"/>
      <c r="L17" s="84"/>
      <c r="M17" s="85"/>
      <c r="N17" s="36" t="s">
        <v>272</v>
      </c>
      <c r="O17" s="55" t="s">
        <v>269</v>
      </c>
      <c r="P17" s="42">
        <v>2.5</v>
      </c>
      <c r="Q17" s="25" t="s">
        <v>262</v>
      </c>
      <c r="R17" s="56"/>
      <c r="S17" s="56"/>
      <c r="T17" s="56"/>
      <c r="U17" s="57"/>
      <c r="W17" s="36" t="s">
        <v>272</v>
      </c>
      <c r="X17" s="55" t="s">
        <v>269</v>
      </c>
      <c r="Y17" s="42">
        <v>2.4</v>
      </c>
      <c r="Z17" s="25" t="s">
        <v>262</v>
      </c>
      <c r="AA17" s="56"/>
      <c r="AB17" s="56"/>
      <c r="AC17" s="56"/>
      <c r="AD17" s="57"/>
    </row>
    <row r="18" spans="1:30" ht="16.2" customHeight="1" thickBot="1">
      <c r="A18" s="228"/>
      <c r="B18" s="223"/>
      <c r="C18" s="224"/>
      <c r="D18" s="223"/>
      <c r="E18" s="224"/>
      <c r="F18" s="223"/>
      <c r="G18" s="224"/>
      <c r="H18" s="223"/>
      <c r="I18" s="224"/>
      <c r="J18" s="223"/>
      <c r="K18" s="224"/>
      <c r="L18" s="223"/>
      <c r="M18" s="224"/>
      <c r="N18" s="65">
        <f>P18</f>
        <v>112.5</v>
      </c>
      <c r="O18" s="59" t="s">
        <v>273</v>
      </c>
      <c r="P18" s="60">
        <f>P12*68+P13*73+P14*24+P15*60+P16*112+P17*45</f>
        <v>112.5</v>
      </c>
      <c r="Q18" s="61" t="s">
        <v>274</v>
      </c>
      <c r="R18" s="62"/>
      <c r="S18" s="62"/>
      <c r="T18" s="62"/>
      <c r="U18" s="63"/>
      <c r="W18" s="65" t="e">
        <f>#REF!</f>
        <v>#REF!</v>
      </c>
      <c r="X18" s="59" t="s">
        <v>273</v>
      </c>
      <c r="Y18" s="60">
        <f>Y12*68+Y13*73+Y14*24+Y15*60+Y16*112+Y17*45</f>
        <v>108</v>
      </c>
      <c r="Z18" s="61" t="s">
        <v>274</v>
      </c>
      <c r="AA18" s="62"/>
      <c r="AB18" s="62"/>
      <c r="AC18" s="62"/>
      <c r="AD18" s="63"/>
    </row>
    <row r="19" spans="1:30" ht="16.2" customHeight="1" thickBot="1">
      <c r="A19" s="215">
        <f>A11+1</f>
        <v>44069</v>
      </c>
      <c r="B19" s="219"/>
      <c r="C19" s="220"/>
      <c r="D19" s="219"/>
      <c r="E19" s="220"/>
      <c r="F19" s="217"/>
      <c r="G19" s="218"/>
      <c r="H19" s="217"/>
      <c r="I19" s="218"/>
      <c r="J19" s="219"/>
      <c r="K19" s="220"/>
      <c r="L19" s="225"/>
      <c r="M19" s="226"/>
      <c r="N19" s="6" t="s">
        <v>301</v>
      </c>
      <c r="O19" s="205" t="s">
        <v>302</v>
      </c>
      <c r="P19" s="206"/>
      <c r="Q19" s="207"/>
      <c r="R19" s="208" t="s">
        <v>303</v>
      </c>
      <c r="S19" s="209"/>
      <c r="T19" s="209"/>
      <c r="U19" s="210"/>
      <c r="W19" s="6" t="s">
        <v>301</v>
      </c>
      <c r="X19" s="205" t="s">
        <v>302</v>
      </c>
      <c r="Y19" s="206"/>
      <c r="Z19" s="207"/>
      <c r="AA19" s="208" t="s">
        <v>303</v>
      </c>
      <c r="AB19" s="209"/>
      <c r="AC19" s="209"/>
      <c r="AD19" s="210"/>
    </row>
    <row r="20" spans="1:30" ht="16.2" customHeight="1">
      <c r="A20" s="216"/>
      <c r="B20" s="33"/>
      <c r="C20" s="38"/>
      <c r="D20" s="33"/>
      <c r="E20" s="18"/>
      <c r="F20" s="19"/>
      <c r="G20" s="30"/>
      <c r="H20" s="19"/>
      <c r="I20" s="20"/>
      <c r="J20" s="90"/>
      <c r="K20" s="70"/>
      <c r="L20" s="91"/>
      <c r="M20" s="92"/>
      <c r="N20" s="22">
        <f>S21</f>
        <v>0</v>
      </c>
      <c r="O20" s="7" t="s">
        <v>0</v>
      </c>
      <c r="P20" s="8">
        <f>M20/20+E23/2/30</f>
        <v>0</v>
      </c>
      <c r="Q20" s="9" t="s">
        <v>242</v>
      </c>
      <c r="R20" s="74" t="s">
        <v>287</v>
      </c>
      <c r="S20" s="75">
        <f>P26</f>
        <v>112.5</v>
      </c>
      <c r="T20" s="76" t="s">
        <v>274</v>
      </c>
      <c r="U20" s="93"/>
      <c r="W20" s="22" t="e">
        <f>#REF!</f>
        <v>#REF!</v>
      </c>
      <c r="X20" s="7" t="s">
        <v>0</v>
      </c>
      <c r="Y20" s="8"/>
      <c r="Z20" s="9" t="s">
        <v>262</v>
      </c>
      <c r="AA20" s="74" t="s">
        <v>306</v>
      </c>
      <c r="AB20" s="75">
        <f>Y26</f>
        <v>108</v>
      </c>
      <c r="AC20" s="76" t="s">
        <v>274</v>
      </c>
      <c r="AD20" s="93"/>
    </row>
    <row r="21" spans="1:30" ht="16.2" customHeight="1">
      <c r="A21" s="216"/>
      <c r="B21" s="81"/>
      <c r="C21" s="82"/>
      <c r="D21" s="33"/>
      <c r="E21" s="14"/>
      <c r="F21" s="94"/>
      <c r="G21" s="52"/>
      <c r="H21" s="13"/>
      <c r="I21" s="34"/>
      <c r="J21" s="95"/>
      <c r="K21" s="96"/>
      <c r="L21" s="84"/>
      <c r="M21" s="85"/>
      <c r="N21" s="36" t="s">
        <v>310</v>
      </c>
      <c r="O21" s="23" t="s">
        <v>5</v>
      </c>
      <c r="P21" s="24">
        <f>C20*0.92/35+E22/35+E23/2/35+G22/35+K21/35</f>
        <v>0</v>
      </c>
      <c r="Q21" s="25" t="s">
        <v>311</v>
      </c>
      <c r="R21" s="26" t="s">
        <v>312</v>
      </c>
      <c r="S21" s="27">
        <f>P20*15+P22*5+P23*15+P24*12</f>
        <v>0</v>
      </c>
      <c r="T21" s="25" t="s">
        <v>313</v>
      </c>
      <c r="U21" s="28">
        <f>S21*4/S20</f>
        <v>0</v>
      </c>
      <c r="W21" s="36" t="s">
        <v>310</v>
      </c>
      <c r="X21" s="23" t="s">
        <v>5</v>
      </c>
      <c r="Y21" s="24"/>
      <c r="Z21" s="25" t="s">
        <v>311</v>
      </c>
      <c r="AA21" s="26" t="s">
        <v>312</v>
      </c>
      <c r="AB21" s="27">
        <f>Y20*15+Y22*5+Y23*15+Y24*12</f>
        <v>0</v>
      </c>
      <c r="AC21" s="25" t="s">
        <v>313</v>
      </c>
      <c r="AD21" s="28">
        <f>AB21*4/AB20</f>
        <v>0</v>
      </c>
    </row>
    <row r="22" spans="1:30" ht="16.2" customHeight="1">
      <c r="A22" s="216"/>
      <c r="B22" s="33"/>
      <c r="C22" s="38"/>
      <c r="D22" s="39"/>
      <c r="E22" s="35"/>
      <c r="F22" s="21"/>
      <c r="G22" s="14"/>
      <c r="H22" s="39"/>
      <c r="I22" s="14"/>
      <c r="J22" s="95"/>
      <c r="K22" s="96"/>
      <c r="L22" s="84"/>
      <c r="M22" s="85"/>
      <c r="N22" s="22">
        <f>S22</f>
        <v>12.5</v>
      </c>
      <c r="O22" s="37" t="s">
        <v>316</v>
      </c>
      <c r="P22" s="24">
        <f>(K22+I20+G20+G21+G23+G24+E20+E21+E24+E25)/100</f>
        <v>0</v>
      </c>
      <c r="Q22" s="25" t="s">
        <v>311</v>
      </c>
      <c r="R22" s="26" t="s">
        <v>317</v>
      </c>
      <c r="S22" s="27">
        <f>P21*5+P24*4+P25*5</f>
        <v>12.5</v>
      </c>
      <c r="T22" s="25" t="s">
        <v>313</v>
      </c>
      <c r="U22" s="28">
        <f>S22*9/S20</f>
        <v>1</v>
      </c>
      <c r="W22" s="22" t="e">
        <f>#REF!</f>
        <v>#REF!</v>
      </c>
      <c r="X22" s="98" t="s">
        <v>318</v>
      </c>
      <c r="Y22" s="24"/>
      <c r="Z22" s="25" t="s">
        <v>262</v>
      </c>
      <c r="AA22" s="26" t="s">
        <v>319</v>
      </c>
      <c r="AB22" s="27">
        <f>Y21*5+Y24*4+Y25*5</f>
        <v>12</v>
      </c>
      <c r="AC22" s="25" t="s">
        <v>264</v>
      </c>
      <c r="AD22" s="28">
        <f>AB22*9/AB20</f>
        <v>1</v>
      </c>
    </row>
    <row r="23" spans="1:30" ht="16.2" customHeight="1">
      <c r="A23" s="216"/>
      <c r="B23" s="33"/>
      <c r="C23" s="14"/>
      <c r="D23" s="21"/>
      <c r="E23" s="100"/>
      <c r="F23" s="13"/>
      <c r="G23" s="14"/>
      <c r="H23" s="39"/>
      <c r="I23" s="14"/>
      <c r="J23" s="87"/>
      <c r="K23" s="35"/>
      <c r="L23" s="89"/>
      <c r="M23" s="32"/>
      <c r="N23" s="36" t="s">
        <v>321</v>
      </c>
      <c r="O23" s="41" t="s">
        <v>322</v>
      </c>
      <c r="P23" s="42">
        <v>0</v>
      </c>
      <c r="Q23" s="25" t="s">
        <v>311</v>
      </c>
      <c r="R23" s="26" t="s">
        <v>323</v>
      </c>
      <c r="S23" s="27">
        <f>P20*2+P21*7+P22*1+P24*8</f>
        <v>0</v>
      </c>
      <c r="T23" s="25" t="s">
        <v>313</v>
      </c>
      <c r="U23" s="28">
        <f>S23*4/S20</f>
        <v>0</v>
      </c>
      <c r="W23" s="36" t="s">
        <v>321</v>
      </c>
      <c r="X23" s="49" t="s">
        <v>322</v>
      </c>
      <c r="Y23" s="42">
        <v>0</v>
      </c>
      <c r="Z23" s="25" t="s">
        <v>311</v>
      </c>
      <c r="AA23" s="26" t="s">
        <v>323</v>
      </c>
      <c r="AB23" s="27">
        <f>Y20*2+Y21*7+Y22*1+Y24*8</f>
        <v>0</v>
      </c>
      <c r="AC23" s="25" t="s">
        <v>313</v>
      </c>
      <c r="AD23" s="28">
        <f>AB23*4/AB20</f>
        <v>0</v>
      </c>
    </row>
    <row r="24" spans="1:30" ht="16.2" customHeight="1">
      <c r="A24" s="227" t="s">
        <v>324</v>
      </c>
      <c r="B24" s="39"/>
      <c r="C24" s="14"/>
      <c r="D24" s="47"/>
      <c r="E24" s="101"/>
      <c r="F24" s="102"/>
      <c r="G24" s="14"/>
      <c r="H24" s="39"/>
      <c r="I24" s="14"/>
      <c r="J24" s="89"/>
      <c r="K24" s="48"/>
      <c r="L24" s="84"/>
      <c r="M24" s="85"/>
      <c r="N24" s="22">
        <f>S23</f>
        <v>0</v>
      </c>
      <c r="O24" s="49" t="s">
        <v>9</v>
      </c>
      <c r="P24" s="42">
        <v>0</v>
      </c>
      <c r="Q24" s="25" t="s">
        <v>262</v>
      </c>
      <c r="R24" s="50"/>
      <c r="S24" s="50"/>
      <c r="T24" s="50"/>
      <c r="U24" s="51">
        <f>SUM(U21:U23)</f>
        <v>1</v>
      </c>
      <c r="W24" s="22" t="e">
        <f>#REF!</f>
        <v>#REF!</v>
      </c>
      <c r="X24" s="49" t="s">
        <v>9</v>
      </c>
      <c r="Y24" s="42">
        <v>0</v>
      </c>
      <c r="Z24" s="25" t="s">
        <v>262</v>
      </c>
      <c r="AA24" s="50"/>
      <c r="AB24" s="50"/>
      <c r="AC24" s="50"/>
      <c r="AD24" s="51">
        <f>SUM(AD21:AD23)</f>
        <v>1</v>
      </c>
    </row>
    <row r="25" spans="1:30" ht="16.2" customHeight="1">
      <c r="A25" s="227"/>
      <c r="B25" s="13"/>
      <c r="C25" s="14"/>
      <c r="D25" s="31"/>
      <c r="E25" s="101"/>
      <c r="F25" s="21"/>
      <c r="G25" s="35"/>
      <c r="H25" s="39"/>
      <c r="I25" s="14"/>
      <c r="J25" s="103"/>
      <c r="K25" s="104"/>
      <c r="L25" s="105"/>
      <c r="M25" s="88"/>
      <c r="N25" s="36" t="s">
        <v>272</v>
      </c>
      <c r="O25" s="55" t="s">
        <v>269</v>
      </c>
      <c r="P25" s="42">
        <v>2.5</v>
      </c>
      <c r="Q25" s="25" t="s">
        <v>262</v>
      </c>
      <c r="R25" s="56"/>
      <c r="S25" s="56"/>
      <c r="T25" s="56"/>
      <c r="U25" s="57"/>
      <c r="W25" s="36" t="s">
        <v>272</v>
      </c>
      <c r="X25" s="55" t="s">
        <v>269</v>
      </c>
      <c r="Y25" s="42">
        <v>2.4</v>
      </c>
      <c r="Z25" s="25" t="s">
        <v>262</v>
      </c>
      <c r="AA25" s="56"/>
      <c r="AB25" s="56"/>
      <c r="AC25" s="56"/>
      <c r="AD25" s="57"/>
    </row>
    <row r="26" spans="1:30" ht="16.2" customHeight="1" thickBot="1">
      <c r="A26" s="228"/>
      <c r="B26" s="223"/>
      <c r="C26" s="224"/>
      <c r="D26" s="223"/>
      <c r="E26" s="224"/>
      <c r="F26" s="223"/>
      <c r="G26" s="224"/>
      <c r="H26" s="223"/>
      <c r="I26" s="224"/>
      <c r="J26" s="223"/>
      <c r="K26" s="224"/>
      <c r="L26" s="223"/>
      <c r="M26" s="224"/>
      <c r="N26" s="65">
        <f>P26</f>
        <v>112.5</v>
      </c>
      <c r="O26" s="59" t="s">
        <v>273</v>
      </c>
      <c r="P26" s="60">
        <f>P20*68+P21*73+P22*24+P23*60+P24*112+P25*45</f>
        <v>112.5</v>
      </c>
      <c r="Q26" s="61" t="s">
        <v>274</v>
      </c>
      <c r="R26" s="62"/>
      <c r="S26" s="62"/>
      <c r="T26" s="62"/>
      <c r="U26" s="63"/>
      <c r="W26" s="65" t="e">
        <f>#REF!</f>
        <v>#REF!</v>
      </c>
      <c r="X26" s="59" t="s">
        <v>273</v>
      </c>
      <c r="Y26" s="60">
        <f>Y20*68+Y21*73+Y22*24+Y23*60+Y24*112+Y25*45</f>
        <v>108</v>
      </c>
      <c r="Z26" s="61" t="s">
        <v>274</v>
      </c>
      <c r="AA26" s="62"/>
      <c r="AB26" s="62"/>
      <c r="AC26" s="62"/>
      <c r="AD26" s="63"/>
    </row>
    <row r="27" spans="1:30" ht="16.2" customHeight="1" thickBot="1">
      <c r="A27" s="215">
        <f>A19+1</f>
        <v>44070</v>
      </c>
      <c r="B27" s="221" t="s">
        <v>182</v>
      </c>
      <c r="C27" s="222"/>
      <c r="D27" s="221" t="s">
        <v>183</v>
      </c>
      <c r="E27" s="222"/>
      <c r="F27" s="221" t="s">
        <v>184</v>
      </c>
      <c r="G27" s="222"/>
      <c r="H27" s="221" t="s">
        <v>185</v>
      </c>
      <c r="I27" s="222"/>
      <c r="J27" s="221" t="s">
        <v>188</v>
      </c>
      <c r="K27" s="222"/>
      <c r="L27" s="221" t="s">
        <v>187</v>
      </c>
      <c r="M27" s="222"/>
      <c r="N27" s="6" t="s">
        <v>301</v>
      </c>
      <c r="O27" s="205" t="s">
        <v>302</v>
      </c>
      <c r="P27" s="206"/>
      <c r="Q27" s="207"/>
      <c r="R27" s="208" t="s">
        <v>303</v>
      </c>
      <c r="S27" s="209"/>
      <c r="T27" s="209"/>
      <c r="U27" s="210"/>
      <c r="W27" s="6" t="s">
        <v>301</v>
      </c>
      <c r="X27" s="205" t="s">
        <v>302</v>
      </c>
      <c r="Y27" s="206"/>
      <c r="Z27" s="207"/>
      <c r="AA27" s="208" t="s">
        <v>303</v>
      </c>
      <c r="AB27" s="209"/>
      <c r="AC27" s="209"/>
      <c r="AD27" s="210"/>
    </row>
    <row r="28" spans="1:30" ht="16.2" customHeight="1">
      <c r="A28" s="216"/>
      <c r="B28" s="106" t="s">
        <v>200</v>
      </c>
      <c r="C28" s="96">
        <v>60</v>
      </c>
      <c r="D28" s="72" t="s">
        <v>203</v>
      </c>
      <c r="E28" s="107">
        <v>35</v>
      </c>
      <c r="F28" s="106" t="s">
        <v>631</v>
      </c>
      <c r="G28" s="108">
        <v>40</v>
      </c>
      <c r="H28" s="19" t="s">
        <v>186</v>
      </c>
      <c r="I28" s="20">
        <v>100</v>
      </c>
      <c r="J28" s="17" t="s">
        <v>206</v>
      </c>
      <c r="K28" s="18">
        <v>20</v>
      </c>
      <c r="L28" s="21" t="s">
        <v>4</v>
      </c>
      <c r="M28" s="18">
        <v>110</v>
      </c>
      <c r="N28" s="22" t="e">
        <f>S29</f>
        <v>#REF!</v>
      </c>
      <c r="O28" s="7" t="s">
        <v>0</v>
      </c>
      <c r="P28" s="8">
        <f>M28/20+K30/70</f>
        <v>5.6428571428571432</v>
      </c>
      <c r="Q28" s="9" t="s">
        <v>262</v>
      </c>
      <c r="R28" s="74" t="s">
        <v>306</v>
      </c>
      <c r="S28" s="75" t="e">
        <f>P34</f>
        <v>#REF!</v>
      </c>
      <c r="T28" s="76" t="s">
        <v>274</v>
      </c>
      <c r="U28" s="77" t="s">
        <v>334</v>
      </c>
      <c r="W28" s="22">
        <f>AB29</f>
        <v>123.76470588235293</v>
      </c>
      <c r="X28" s="7" t="s">
        <v>0</v>
      </c>
      <c r="Y28" s="8">
        <f>M28/20+M29/20+G30/85</f>
        <v>7.617647058823529</v>
      </c>
      <c r="Z28" s="9" t="s">
        <v>262</v>
      </c>
      <c r="AA28" s="74" t="s">
        <v>306</v>
      </c>
      <c r="AB28" s="75">
        <f>Y34</f>
        <v>887.3292207792208</v>
      </c>
      <c r="AC28" s="76" t="s">
        <v>274</v>
      </c>
      <c r="AD28" s="77" t="s">
        <v>334</v>
      </c>
    </row>
    <row r="29" spans="1:30" ht="16.2" customHeight="1">
      <c r="A29" s="216"/>
      <c r="B29" s="106" t="s">
        <v>201</v>
      </c>
      <c r="C29" s="96">
        <v>10</v>
      </c>
      <c r="D29" s="79" t="s">
        <v>204</v>
      </c>
      <c r="E29" s="111">
        <v>5</v>
      </c>
      <c r="F29" s="21" t="s">
        <v>632</v>
      </c>
      <c r="G29" s="112">
        <v>10</v>
      </c>
      <c r="H29" s="13"/>
      <c r="I29" s="34"/>
      <c r="J29" s="33" t="s">
        <v>205</v>
      </c>
      <c r="K29" s="35">
        <v>5</v>
      </c>
      <c r="L29" s="21" t="s">
        <v>20</v>
      </c>
      <c r="M29" s="35">
        <v>40</v>
      </c>
      <c r="N29" s="36" t="s">
        <v>338</v>
      </c>
      <c r="O29" s="23" t="s">
        <v>5</v>
      </c>
      <c r="P29" s="24">
        <f>C28*0.68/40+E28/55+E29/35</f>
        <v>1.7992207792207791</v>
      </c>
      <c r="Q29" s="25" t="s">
        <v>262</v>
      </c>
      <c r="R29" s="26" t="s">
        <v>339</v>
      </c>
      <c r="S29" s="27" t="e">
        <f>P28*15+P30*5+P31*15+P32*12</f>
        <v>#REF!</v>
      </c>
      <c r="T29" s="25" t="s">
        <v>264</v>
      </c>
      <c r="U29" s="28" t="e">
        <f>S29*4/S28</f>
        <v>#REF!</v>
      </c>
      <c r="W29" s="36" t="s">
        <v>338</v>
      </c>
      <c r="X29" s="23" t="s">
        <v>5</v>
      </c>
      <c r="Y29" s="203">
        <f>C28/35+E29/55+G28/40+K30*0.6/40</f>
        <v>2.9551948051948052</v>
      </c>
      <c r="Z29" s="25" t="s">
        <v>262</v>
      </c>
      <c r="AA29" s="26" t="s">
        <v>339</v>
      </c>
      <c r="AB29" s="27">
        <f>Y28*15+Y30*5+Y31*15+Y32*12</f>
        <v>123.76470588235293</v>
      </c>
      <c r="AC29" s="25" t="s">
        <v>264</v>
      </c>
      <c r="AD29" s="28">
        <f>AB29*4/AB28</f>
        <v>0.557920117963284</v>
      </c>
    </row>
    <row r="30" spans="1:30" ht="16.2" customHeight="1">
      <c r="A30" s="216"/>
      <c r="B30" s="33"/>
      <c r="C30" s="38"/>
      <c r="D30" s="106" t="s">
        <v>205</v>
      </c>
      <c r="E30" s="111">
        <v>5</v>
      </c>
      <c r="F30" s="106" t="s">
        <v>633</v>
      </c>
      <c r="G30" s="112">
        <v>10</v>
      </c>
      <c r="H30" s="39"/>
      <c r="I30" s="14"/>
      <c r="J30" s="21" t="s">
        <v>207</v>
      </c>
      <c r="K30" s="35">
        <v>10</v>
      </c>
      <c r="L30" s="84"/>
      <c r="M30" s="85"/>
      <c r="N30" s="22">
        <f>S30</f>
        <v>21.496103896103897</v>
      </c>
      <c r="O30" s="37" t="s">
        <v>318</v>
      </c>
      <c r="P30" s="24" t="e">
        <f>(K28+K29+G31+#REF!+G28+G29+G30+I28+G33)/100</f>
        <v>#REF!</v>
      </c>
      <c r="Q30" s="25" t="s">
        <v>262</v>
      </c>
      <c r="R30" s="26" t="s">
        <v>319</v>
      </c>
      <c r="S30" s="27">
        <f>P29*5+P32*4+P33*5</f>
        <v>21.496103896103897</v>
      </c>
      <c r="T30" s="25" t="s">
        <v>264</v>
      </c>
      <c r="U30" s="28" t="e">
        <f>S30*9/S28</f>
        <v>#REF!</v>
      </c>
      <c r="W30" s="22">
        <f>AB30</f>
        <v>26.775974025974026</v>
      </c>
      <c r="X30" s="37" t="s">
        <v>318</v>
      </c>
      <c r="Y30" s="24">
        <f>(C29+E28+E30+G29+G31+I28+K28+K29)/100</f>
        <v>1.9</v>
      </c>
      <c r="Z30" s="25" t="s">
        <v>262</v>
      </c>
      <c r="AA30" s="26" t="s">
        <v>319</v>
      </c>
      <c r="AB30" s="27">
        <f>Y29*5+Y32*4+Y33*5</f>
        <v>26.775974025974026</v>
      </c>
      <c r="AC30" s="25" t="s">
        <v>264</v>
      </c>
      <c r="AD30" s="28">
        <f>AB30*9/AB28</f>
        <v>0.27158326423888407</v>
      </c>
    </row>
    <row r="31" spans="1:30" ht="16.2" customHeight="1">
      <c r="A31" s="216"/>
      <c r="B31" s="33"/>
      <c r="C31" s="38"/>
      <c r="D31" s="21"/>
      <c r="E31" s="112"/>
      <c r="F31" s="106" t="s">
        <v>629</v>
      </c>
      <c r="G31" s="112">
        <v>5</v>
      </c>
      <c r="H31" s="39"/>
      <c r="I31" s="14"/>
      <c r="J31" s="81" t="s">
        <v>208</v>
      </c>
      <c r="K31" s="82">
        <v>0.4</v>
      </c>
      <c r="L31" s="84"/>
      <c r="M31" s="85"/>
      <c r="N31" s="36" t="s">
        <v>260</v>
      </c>
      <c r="O31" s="41" t="s">
        <v>261</v>
      </c>
      <c r="P31" s="42">
        <v>0</v>
      </c>
      <c r="Q31" s="25" t="s">
        <v>262</v>
      </c>
      <c r="R31" s="26" t="s">
        <v>263</v>
      </c>
      <c r="S31" s="27" t="e">
        <f>P28*2+P29*7+P30*1+P32*8</f>
        <v>#REF!</v>
      </c>
      <c r="T31" s="25" t="s">
        <v>264</v>
      </c>
      <c r="U31" s="28" t="e">
        <f>S31*4/S28</f>
        <v>#REF!</v>
      </c>
      <c r="W31" s="36" t="s">
        <v>260</v>
      </c>
      <c r="X31" s="49" t="s">
        <v>261</v>
      </c>
      <c r="Y31" s="42">
        <v>0</v>
      </c>
      <c r="Z31" s="25" t="s">
        <v>262</v>
      </c>
      <c r="AA31" s="26" t="s">
        <v>263</v>
      </c>
      <c r="AB31" s="27">
        <f>Y28*2+Y29*7+Y30*1+Y32*8</f>
        <v>37.821657754010694</v>
      </c>
      <c r="AC31" s="25" t="s">
        <v>264</v>
      </c>
      <c r="AD31" s="28">
        <f>AB31*4/AB28</f>
        <v>0.17049661779783187</v>
      </c>
    </row>
    <row r="32" spans="1:30" ht="16.2" customHeight="1">
      <c r="A32" s="227" t="s">
        <v>345</v>
      </c>
      <c r="B32" s="31"/>
      <c r="C32" s="32"/>
      <c r="D32" s="21"/>
      <c r="E32" s="35"/>
      <c r="F32" s="106" t="s">
        <v>634</v>
      </c>
      <c r="G32" s="46">
        <v>1</v>
      </c>
      <c r="H32" s="39"/>
      <c r="I32" s="14"/>
      <c r="J32" s="39"/>
      <c r="K32" s="35"/>
      <c r="L32" s="84"/>
      <c r="M32" s="85"/>
      <c r="N32" s="22" t="e">
        <f>S31</f>
        <v>#REF!</v>
      </c>
      <c r="O32" s="49" t="s">
        <v>9</v>
      </c>
      <c r="P32" s="42">
        <v>0</v>
      </c>
      <c r="Q32" s="25" t="s">
        <v>262</v>
      </c>
      <c r="R32" s="50"/>
      <c r="S32" s="50"/>
      <c r="T32" s="50"/>
      <c r="U32" s="51" t="e">
        <f>SUM(U29:U31)</f>
        <v>#REF!</v>
      </c>
      <c r="W32" s="22">
        <f>AB31</f>
        <v>37.821657754010694</v>
      </c>
      <c r="X32" s="49" t="s">
        <v>9</v>
      </c>
      <c r="Y32" s="42">
        <v>0</v>
      </c>
      <c r="Z32" s="25" t="s">
        <v>262</v>
      </c>
      <c r="AA32" s="50"/>
      <c r="AB32" s="50"/>
      <c r="AC32" s="50"/>
      <c r="AD32" s="51">
        <f>SUM(AD29:AD31)</f>
        <v>0.99999999999999989</v>
      </c>
    </row>
    <row r="33" spans="1:30" ht="16.2" customHeight="1">
      <c r="A33" s="227"/>
      <c r="B33" s="31"/>
      <c r="C33" s="32"/>
      <c r="D33" s="21"/>
      <c r="E33" s="35"/>
      <c r="F33" s="47"/>
      <c r="G33" s="48"/>
      <c r="H33" s="39"/>
      <c r="I33" s="14"/>
      <c r="J33" s="21"/>
      <c r="K33" s="35"/>
      <c r="L33" s="84"/>
      <c r="M33" s="85"/>
      <c r="N33" s="36" t="s">
        <v>272</v>
      </c>
      <c r="O33" s="55" t="s">
        <v>269</v>
      </c>
      <c r="P33" s="42">
        <v>2.5</v>
      </c>
      <c r="Q33" s="25" t="s">
        <v>262</v>
      </c>
      <c r="R33" s="56"/>
      <c r="S33" s="56"/>
      <c r="T33" s="56"/>
      <c r="U33" s="57"/>
      <c r="W33" s="36" t="s">
        <v>272</v>
      </c>
      <c r="X33" s="55" t="s">
        <v>269</v>
      </c>
      <c r="Y33" s="42">
        <v>2.4</v>
      </c>
      <c r="Z33" s="25" t="s">
        <v>262</v>
      </c>
      <c r="AA33" s="56"/>
      <c r="AB33" s="56"/>
      <c r="AC33" s="56"/>
      <c r="AD33" s="57"/>
    </row>
    <row r="34" spans="1:30" ht="16.2" customHeight="1" thickBot="1">
      <c r="A34" s="228"/>
      <c r="B34" s="223" t="s">
        <v>202</v>
      </c>
      <c r="C34" s="224"/>
      <c r="D34" s="223" t="s">
        <v>195</v>
      </c>
      <c r="E34" s="224"/>
      <c r="F34" s="223" t="s">
        <v>196</v>
      </c>
      <c r="G34" s="224"/>
      <c r="H34" s="223" t="s">
        <v>197</v>
      </c>
      <c r="I34" s="224"/>
      <c r="J34" s="223" t="s">
        <v>196</v>
      </c>
      <c r="K34" s="224"/>
      <c r="L34" s="223" t="s">
        <v>198</v>
      </c>
      <c r="M34" s="224"/>
      <c r="N34" s="65" t="e">
        <f>P34</f>
        <v>#REF!</v>
      </c>
      <c r="O34" s="59" t="s">
        <v>273</v>
      </c>
      <c r="P34" s="60" t="e">
        <f>P28*68+P29*73+P30*24+P31*60+P32*112+P33*45</f>
        <v>#REF!</v>
      </c>
      <c r="Q34" s="61" t="s">
        <v>274</v>
      </c>
      <c r="R34" s="62"/>
      <c r="S34" s="62"/>
      <c r="T34" s="62"/>
      <c r="U34" s="63"/>
      <c r="W34" s="65">
        <f>Y34</f>
        <v>887.3292207792208</v>
      </c>
      <c r="X34" s="59" t="s">
        <v>273</v>
      </c>
      <c r="Y34" s="60">
        <f>Y28*68+Y29*73+Y30*24+Y31*60+Y32*112+Y33*45</f>
        <v>887.3292207792208</v>
      </c>
      <c r="Z34" s="61" t="s">
        <v>274</v>
      </c>
      <c r="AA34" s="62"/>
      <c r="AB34" s="62"/>
      <c r="AC34" s="62"/>
      <c r="AD34" s="63"/>
    </row>
    <row r="35" spans="1:30" ht="16.2" customHeight="1" thickBot="1">
      <c r="A35" s="215">
        <f>A27+1</f>
        <v>44071</v>
      </c>
      <c r="B35" s="221" t="s">
        <v>190</v>
      </c>
      <c r="C35" s="222"/>
      <c r="D35" s="221" t="s">
        <v>191</v>
      </c>
      <c r="E35" s="222"/>
      <c r="F35" s="221" t="s">
        <v>648</v>
      </c>
      <c r="G35" s="222"/>
      <c r="H35" s="221" t="s">
        <v>185</v>
      </c>
      <c r="I35" s="222"/>
      <c r="J35" s="221" t="s">
        <v>192</v>
      </c>
      <c r="K35" s="222"/>
      <c r="L35" s="221" t="s">
        <v>193</v>
      </c>
      <c r="M35" s="222"/>
      <c r="N35" s="6" t="s">
        <v>234</v>
      </c>
      <c r="O35" s="205" t="s">
        <v>235</v>
      </c>
      <c r="P35" s="206"/>
      <c r="Q35" s="207"/>
      <c r="R35" s="208" t="s">
        <v>236</v>
      </c>
      <c r="S35" s="209"/>
      <c r="T35" s="209"/>
      <c r="U35" s="210"/>
      <c r="W35" s="6" t="s">
        <v>234</v>
      </c>
      <c r="X35" s="205" t="s">
        <v>235</v>
      </c>
      <c r="Y35" s="206"/>
      <c r="Z35" s="207"/>
      <c r="AA35" s="208" t="s">
        <v>236</v>
      </c>
      <c r="AB35" s="209"/>
      <c r="AC35" s="209"/>
      <c r="AD35" s="210"/>
    </row>
    <row r="36" spans="1:30" ht="16.2" customHeight="1">
      <c r="A36" s="216"/>
      <c r="B36" s="13" t="s">
        <v>207</v>
      </c>
      <c r="C36" s="35">
        <v>120</v>
      </c>
      <c r="D36" s="19" t="s">
        <v>210</v>
      </c>
      <c r="E36" s="30">
        <v>35</v>
      </c>
      <c r="F36" s="33" t="s">
        <v>486</v>
      </c>
      <c r="G36" s="114">
        <v>10</v>
      </c>
      <c r="H36" s="19" t="s">
        <v>212</v>
      </c>
      <c r="I36" s="20">
        <v>120</v>
      </c>
      <c r="J36" s="90" t="s">
        <v>213</v>
      </c>
      <c r="K36" s="70">
        <v>5</v>
      </c>
      <c r="L36" s="115" t="s">
        <v>4</v>
      </c>
      <c r="M36" s="18">
        <v>140</v>
      </c>
      <c r="N36" s="22" t="e">
        <f>S37</f>
        <v>#REF!</v>
      </c>
      <c r="O36" s="7" t="s">
        <v>0</v>
      </c>
      <c r="P36" s="42">
        <f>G41/55+M36/20+M37/20</f>
        <v>7</v>
      </c>
      <c r="Q36" s="9" t="s">
        <v>242</v>
      </c>
      <c r="R36" s="74" t="s">
        <v>287</v>
      </c>
      <c r="S36" s="75" t="e">
        <f>P42</f>
        <v>#REF!</v>
      </c>
      <c r="T36" s="76" t="s">
        <v>232</v>
      </c>
      <c r="U36" s="93"/>
      <c r="W36" s="22">
        <f>AB37</f>
        <v>118.45</v>
      </c>
      <c r="X36" s="7" t="s">
        <v>0</v>
      </c>
      <c r="Y36" s="42">
        <f>M36/20+G36/40</f>
        <v>7.25</v>
      </c>
      <c r="Z36" s="9" t="s">
        <v>262</v>
      </c>
      <c r="AA36" s="74" t="s">
        <v>306</v>
      </c>
      <c r="AB36" s="75">
        <f>Y42</f>
        <v>841.27071428571435</v>
      </c>
      <c r="AC36" s="76" t="s">
        <v>274</v>
      </c>
      <c r="AD36" s="93"/>
    </row>
    <row r="37" spans="1:30" ht="16.2" customHeight="1">
      <c r="A37" s="216"/>
      <c r="B37" s="81" t="s">
        <v>208</v>
      </c>
      <c r="C37" s="116">
        <v>0.4</v>
      </c>
      <c r="D37" s="13" t="s">
        <v>211</v>
      </c>
      <c r="E37" s="35">
        <v>25</v>
      </c>
      <c r="F37" s="33" t="s">
        <v>357</v>
      </c>
      <c r="G37" s="35">
        <v>18</v>
      </c>
      <c r="H37" s="13"/>
      <c r="I37" s="34"/>
      <c r="J37" s="89" t="s">
        <v>214</v>
      </c>
      <c r="K37" s="32">
        <v>10</v>
      </c>
      <c r="L37" s="21"/>
      <c r="M37" s="35"/>
      <c r="N37" s="36" t="s">
        <v>338</v>
      </c>
      <c r="O37" s="23" t="s">
        <v>5</v>
      </c>
      <c r="P37" s="24" t="e">
        <f>C36*0.58/40+E38/55+#REF!*0.52/35+#REF!/80</f>
        <v>#REF!</v>
      </c>
      <c r="Q37" s="25" t="s">
        <v>262</v>
      </c>
      <c r="R37" s="26" t="s">
        <v>339</v>
      </c>
      <c r="S37" s="27" t="e">
        <f>P36*15+P38*5+P39*15+P40*12</f>
        <v>#REF!</v>
      </c>
      <c r="T37" s="25" t="s">
        <v>264</v>
      </c>
      <c r="U37" s="28" t="e">
        <f>S37*4/S36</f>
        <v>#REF!</v>
      </c>
      <c r="W37" s="36" t="s">
        <v>338</v>
      </c>
      <c r="X37" s="23" t="s">
        <v>5</v>
      </c>
      <c r="Y37" s="203">
        <f>C36*0.6/40+E37/40+G39/35</f>
        <v>2.6535714285714285</v>
      </c>
      <c r="Z37" s="25" t="s">
        <v>262</v>
      </c>
      <c r="AA37" s="26" t="s">
        <v>339</v>
      </c>
      <c r="AB37" s="27">
        <f>Y36*15+Y38*5+Y39*15+Y40*12</f>
        <v>118.45</v>
      </c>
      <c r="AC37" s="25" t="s">
        <v>264</v>
      </c>
      <c r="AD37" s="28">
        <f>AB37*4/AB36</f>
        <v>0.56319564196678662</v>
      </c>
    </row>
    <row r="38" spans="1:30" ht="16.2" customHeight="1">
      <c r="A38" s="216"/>
      <c r="B38" s="33" t="s">
        <v>209</v>
      </c>
      <c r="C38" s="35">
        <v>5</v>
      </c>
      <c r="D38" s="94" t="s">
        <v>205</v>
      </c>
      <c r="E38" s="52">
        <v>3</v>
      </c>
      <c r="F38" s="33" t="s">
        <v>265</v>
      </c>
      <c r="G38" s="35">
        <v>5</v>
      </c>
      <c r="H38" s="39"/>
      <c r="I38" s="14"/>
      <c r="J38" s="87"/>
      <c r="K38" s="14"/>
      <c r="L38" s="13"/>
      <c r="M38" s="88"/>
      <c r="N38" s="22" t="e">
        <f>S38</f>
        <v>#REF!</v>
      </c>
      <c r="O38" s="37" t="s">
        <v>318</v>
      </c>
      <c r="P38" s="24" t="e">
        <f>(E36+E37+E38+E39+#REF!+#REF!+I36+#REF!+#REF!)/100</f>
        <v>#REF!</v>
      </c>
      <c r="Q38" s="25" t="s">
        <v>262</v>
      </c>
      <c r="R38" s="26" t="s">
        <v>319</v>
      </c>
      <c r="S38" s="27" t="e">
        <f>P37*5+P40*4+P41*5</f>
        <v>#REF!</v>
      </c>
      <c r="T38" s="25" t="s">
        <v>264</v>
      </c>
      <c r="U38" s="28" t="e">
        <f>S38*9/S36</f>
        <v>#REF!</v>
      </c>
      <c r="W38" s="22">
        <f>AB38</f>
        <v>25.267857142857142</v>
      </c>
      <c r="X38" s="37" t="s">
        <v>318</v>
      </c>
      <c r="Y38" s="24">
        <f>(C38+E36+E38+G37+G38+I36+K36+G40)/100</f>
        <v>1.94</v>
      </c>
      <c r="Z38" s="25" t="s">
        <v>262</v>
      </c>
      <c r="AA38" s="26" t="s">
        <v>319</v>
      </c>
      <c r="AB38" s="27">
        <f>Y37*5+Y40*4+Y41*5</f>
        <v>25.267857142857142</v>
      </c>
      <c r="AC38" s="25" t="s">
        <v>264</v>
      </c>
      <c r="AD38" s="28">
        <f>AB38*9/AB36</f>
        <v>0.27031811570761577</v>
      </c>
    </row>
    <row r="39" spans="1:30" ht="16.2" customHeight="1">
      <c r="A39" s="216"/>
      <c r="B39" s="13"/>
      <c r="C39" s="14"/>
      <c r="D39" s="79"/>
      <c r="E39" s="35"/>
      <c r="F39" s="13" t="s">
        <v>355</v>
      </c>
      <c r="G39" s="35">
        <v>8</v>
      </c>
      <c r="H39" s="39"/>
      <c r="I39" s="14"/>
      <c r="J39" s="89"/>
      <c r="K39" s="32"/>
      <c r="L39" s="33"/>
      <c r="M39" s="64"/>
      <c r="N39" s="36" t="s">
        <v>260</v>
      </c>
      <c r="O39" s="41" t="s">
        <v>261</v>
      </c>
      <c r="P39" s="42">
        <v>0</v>
      </c>
      <c r="Q39" s="25" t="s">
        <v>262</v>
      </c>
      <c r="R39" s="26" t="s">
        <v>263</v>
      </c>
      <c r="S39" s="27" t="e">
        <f>P36*2+P37*7+P38*1+P40*8</f>
        <v>#REF!</v>
      </c>
      <c r="T39" s="25" t="s">
        <v>264</v>
      </c>
      <c r="U39" s="28" t="e">
        <f>S39*4/S36</f>
        <v>#REF!</v>
      </c>
      <c r="W39" s="36" t="s">
        <v>260</v>
      </c>
      <c r="X39" s="49" t="s">
        <v>261</v>
      </c>
      <c r="Y39" s="42">
        <v>0</v>
      </c>
      <c r="Z39" s="25" t="s">
        <v>262</v>
      </c>
      <c r="AA39" s="26" t="s">
        <v>263</v>
      </c>
      <c r="AB39" s="27">
        <f>Y36*2+Y37*7+Y38*1+Y40*8</f>
        <v>35.015000000000001</v>
      </c>
      <c r="AC39" s="25" t="s">
        <v>264</v>
      </c>
      <c r="AD39" s="28">
        <f>AB39*4/AB36</f>
        <v>0.16648624232559758</v>
      </c>
    </row>
    <row r="40" spans="1:30" ht="16.2" customHeight="1">
      <c r="A40" s="227" t="s">
        <v>360</v>
      </c>
      <c r="B40" s="13"/>
      <c r="C40" s="96"/>
      <c r="D40" s="13"/>
      <c r="E40" s="14"/>
      <c r="F40" s="39" t="s">
        <v>258</v>
      </c>
      <c r="G40" s="35">
        <v>3</v>
      </c>
      <c r="H40" s="39"/>
      <c r="I40" s="14"/>
      <c r="J40" s="103"/>
      <c r="K40" s="117"/>
      <c r="L40" s="33"/>
      <c r="M40" s="64"/>
      <c r="N40" s="22" t="e">
        <f>S39</f>
        <v>#REF!</v>
      </c>
      <c r="O40" s="49" t="s">
        <v>9</v>
      </c>
      <c r="P40" s="42">
        <v>0</v>
      </c>
      <c r="Q40" s="25" t="s">
        <v>262</v>
      </c>
      <c r="R40" s="50"/>
      <c r="S40" s="50"/>
      <c r="T40" s="50"/>
      <c r="U40" s="51" t="e">
        <f>SUM(U37:U39)</f>
        <v>#REF!</v>
      </c>
      <c r="W40" s="22">
        <f>AB39</f>
        <v>35.015000000000001</v>
      </c>
      <c r="X40" s="49" t="s">
        <v>9</v>
      </c>
      <c r="Y40" s="42">
        <v>0</v>
      </c>
      <c r="Z40" s="25" t="s">
        <v>262</v>
      </c>
      <c r="AA40" s="50"/>
      <c r="AB40" s="50"/>
      <c r="AC40" s="50"/>
      <c r="AD40" s="51">
        <f>SUM(AD37:AD39)</f>
        <v>1</v>
      </c>
    </row>
    <row r="41" spans="1:30" ht="16.2" customHeight="1">
      <c r="A41" s="227"/>
      <c r="B41" s="39"/>
      <c r="C41" s="14"/>
      <c r="D41" s="13"/>
      <c r="E41" s="14"/>
      <c r="F41" s="47"/>
      <c r="G41" s="48"/>
      <c r="H41" s="39"/>
      <c r="I41" s="14"/>
      <c r="J41" s="118"/>
      <c r="K41" s="117"/>
      <c r="L41" s="33"/>
      <c r="M41" s="64"/>
      <c r="N41" s="36" t="s">
        <v>272</v>
      </c>
      <c r="O41" s="55" t="s">
        <v>269</v>
      </c>
      <c r="P41" s="42">
        <v>2.5</v>
      </c>
      <c r="Q41" s="25" t="s">
        <v>262</v>
      </c>
      <c r="R41" s="56"/>
      <c r="S41" s="56"/>
      <c r="T41" s="56"/>
      <c r="U41" s="57"/>
      <c r="W41" s="36" t="s">
        <v>272</v>
      </c>
      <c r="X41" s="55" t="s">
        <v>269</v>
      </c>
      <c r="Y41" s="42">
        <v>2.4</v>
      </c>
      <c r="Z41" s="25" t="s">
        <v>262</v>
      </c>
      <c r="AA41" s="56"/>
      <c r="AB41" s="56"/>
      <c r="AC41" s="56"/>
      <c r="AD41" s="57"/>
    </row>
    <row r="42" spans="1:30" ht="16.2" customHeight="1" thickBot="1">
      <c r="A42" s="228"/>
      <c r="B42" s="223" t="s">
        <v>215</v>
      </c>
      <c r="C42" s="224"/>
      <c r="D42" s="223" t="s">
        <v>195</v>
      </c>
      <c r="E42" s="224"/>
      <c r="F42" s="223" t="s">
        <v>202</v>
      </c>
      <c r="G42" s="224"/>
      <c r="H42" s="223" t="s">
        <v>197</v>
      </c>
      <c r="I42" s="224"/>
      <c r="J42" s="223" t="s">
        <v>196</v>
      </c>
      <c r="K42" s="224"/>
      <c r="L42" s="223" t="s">
        <v>198</v>
      </c>
      <c r="M42" s="224"/>
      <c r="N42" s="65" t="e">
        <f>P42</f>
        <v>#REF!</v>
      </c>
      <c r="O42" s="59" t="s">
        <v>273</v>
      </c>
      <c r="P42" s="60" t="e">
        <f>P36*68+P37*73+P38*24+P39*60+P40*112+P41*45</f>
        <v>#REF!</v>
      </c>
      <c r="Q42" s="61" t="s">
        <v>274</v>
      </c>
      <c r="R42" s="62"/>
      <c r="S42" s="62"/>
      <c r="T42" s="62"/>
      <c r="U42" s="63"/>
      <c r="W42" s="65">
        <f>Y42</f>
        <v>841.27071428571435</v>
      </c>
      <c r="X42" s="59" t="s">
        <v>273</v>
      </c>
      <c r="Y42" s="60">
        <f>Y36*68+Y37*73+Y38*24+Y39*60+Y40*112+Y41*45</f>
        <v>841.27071428571435</v>
      </c>
      <c r="Z42" s="61" t="s">
        <v>274</v>
      </c>
      <c r="AA42" s="62"/>
      <c r="AB42" s="62"/>
      <c r="AC42" s="62"/>
      <c r="AD42" s="63"/>
    </row>
    <row r="43" spans="1:30">
      <c r="A43" s="229" t="s">
        <v>362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</row>
    <row r="44" spans="1:30" ht="16.5" customHeight="1">
      <c r="A44" s="230" t="s">
        <v>363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</row>
    <row r="45" spans="1:30" ht="16.5" customHeight="1">
      <c r="A45" s="231" t="s">
        <v>364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</row>
    <row r="46" spans="1:30" ht="16.5" customHeight="1">
      <c r="A46" s="232" t="s">
        <v>365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</row>
    <row r="47" spans="1:30" ht="16.5" customHeight="1" thickBot="1">
      <c r="A47" s="233" t="s">
        <v>366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</row>
    <row r="48" spans="1:30" ht="22.75" thickBot="1">
      <c r="A48" s="211" t="s">
        <v>584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1"/>
      <c r="X48" s="212"/>
      <c r="Y48" s="213"/>
      <c r="Z48" s="213"/>
      <c r="AA48" s="213"/>
      <c r="AB48" s="213"/>
      <c r="AC48" s="213"/>
      <c r="AD48" s="214"/>
    </row>
    <row r="49" spans="1:30" ht="35.35" customHeight="1" thickBot="1">
      <c r="A49" s="2" t="s">
        <v>217</v>
      </c>
      <c r="B49" s="3" t="s">
        <v>218</v>
      </c>
      <c r="C49" s="4" t="s">
        <v>219</v>
      </c>
      <c r="D49" s="3" t="s">
        <v>220</v>
      </c>
      <c r="E49" s="4" t="s">
        <v>219</v>
      </c>
      <c r="F49" s="3" t="s">
        <v>220</v>
      </c>
      <c r="G49" s="4" t="s">
        <v>219</v>
      </c>
      <c r="H49" s="5" t="s">
        <v>221</v>
      </c>
      <c r="I49" s="4" t="s">
        <v>219</v>
      </c>
      <c r="J49" s="3" t="s">
        <v>222</v>
      </c>
      <c r="K49" s="4" t="s">
        <v>219</v>
      </c>
      <c r="L49" s="3" t="s">
        <v>223</v>
      </c>
      <c r="M49" s="4" t="s">
        <v>219</v>
      </c>
      <c r="N49" s="4" t="s">
        <v>224</v>
      </c>
      <c r="O49" s="212" t="s">
        <v>225</v>
      </c>
      <c r="P49" s="213"/>
      <c r="Q49" s="213"/>
      <c r="R49" s="213"/>
      <c r="S49" s="213"/>
      <c r="T49" s="213"/>
      <c r="U49" s="214"/>
      <c r="W49" s="4" t="s">
        <v>224</v>
      </c>
      <c r="X49" s="212" t="s">
        <v>375</v>
      </c>
      <c r="Y49" s="213"/>
      <c r="Z49" s="213"/>
      <c r="AA49" s="213"/>
      <c r="AB49" s="213"/>
      <c r="AC49" s="213"/>
      <c r="AD49" s="214"/>
    </row>
    <row r="50" spans="1:30" ht="16.2" customHeight="1" thickBot="1">
      <c r="A50" s="215">
        <v>44074</v>
      </c>
      <c r="B50" s="217" t="s">
        <v>588</v>
      </c>
      <c r="C50" s="218"/>
      <c r="D50" s="219" t="s">
        <v>226</v>
      </c>
      <c r="E50" s="220"/>
      <c r="F50" s="217" t="s">
        <v>227</v>
      </c>
      <c r="G50" s="218"/>
      <c r="H50" s="217" t="s">
        <v>228</v>
      </c>
      <c r="I50" s="218"/>
      <c r="J50" s="217" t="s">
        <v>592</v>
      </c>
      <c r="K50" s="218"/>
      <c r="L50" s="221" t="s">
        <v>650</v>
      </c>
      <c r="M50" s="222"/>
      <c r="N50" s="6" t="s">
        <v>229</v>
      </c>
      <c r="O50" s="7" t="s">
        <v>0</v>
      </c>
      <c r="P50" s="8">
        <v>0</v>
      </c>
      <c r="Q50" s="9" t="s">
        <v>230</v>
      </c>
      <c r="R50" s="10" t="s">
        <v>231</v>
      </c>
      <c r="S50" s="11">
        <f>P56</f>
        <v>0</v>
      </c>
      <c r="T50" s="9" t="s">
        <v>232</v>
      </c>
      <c r="U50" s="12" t="s">
        <v>233</v>
      </c>
      <c r="W50" s="6" t="s">
        <v>234</v>
      </c>
      <c r="X50" s="196" t="s">
        <v>302</v>
      </c>
      <c r="Y50" s="197"/>
      <c r="Z50" s="198"/>
      <c r="AA50" s="199" t="s">
        <v>303</v>
      </c>
      <c r="AB50" s="200"/>
      <c r="AC50" s="200"/>
      <c r="AD50" s="201"/>
    </row>
    <row r="51" spans="1:30" ht="16.2" customHeight="1">
      <c r="A51" s="216"/>
      <c r="B51" s="13" t="s">
        <v>589</v>
      </c>
      <c r="C51" s="14">
        <v>120</v>
      </c>
      <c r="D51" s="15" t="s">
        <v>237</v>
      </c>
      <c r="E51" s="16">
        <v>40</v>
      </c>
      <c r="F51" s="17" t="s">
        <v>238</v>
      </c>
      <c r="G51" s="18">
        <v>30</v>
      </c>
      <c r="H51" s="19" t="s">
        <v>239</v>
      </c>
      <c r="I51" s="20">
        <v>100</v>
      </c>
      <c r="J51" s="17" t="s">
        <v>240</v>
      </c>
      <c r="K51" s="18">
        <v>20</v>
      </c>
      <c r="L51" s="115" t="s">
        <v>4</v>
      </c>
      <c r="M51" s="18">
        <v>130</v>
      </c>
      <c r="N51" s="22">
        <f>S51</f>
        <v>0</v>
      </c>
      <c r="O51" s="23" t="s">
        <v>5</v>
      </c>
      <c r="P51" s="24">
        <v>0</v>
      </c>
      <c r="Q51" s="25" t="s">
        <v>242</v>
      </c>
      <c r="R51" s="26" t="s">
        <v>243</v>
      </c>
      <c r="S51" s="27">
        <f>P50*15+P52*5+P53*15+P54*12</f>
        <v>0</v>
      </c>
      <c r="T51" s="25" t="s">
        <v>244</v>
      </c>
      <c r="U51" s="28" t="e">
        <f>S51*4/S50</f>
        <v>#DIV/0!</v>
      </c>
      <c r="W51" s="22">
        <f>AB52</f>
        <v>123.98181818181818</v>
      </c>
      <c r="X51" s="29" t="s">
        <v>0</v>
      </c>
      <c r="Y51" s="8">
        <f>M51/20+E55/55+M52/20</f>
        <v>7.6454545454545455</v>
      </c>
      <c r="Z51" s="9" t="s">
        <v>262</v>
      </c>
      <c r="AA51" s="10" t="s">
        <v>306</v>
      </c>
      <c r="AB51" s="11">
        <f>Y57</f>
        <v>889.63480519480515</v>
      </c>
      <c r="AC51" s="9" t="s">
        <v>274</v>
      </c>
      <c r="AD51" s="12" t="s">
        <v>334</v>
      </c>
    </row>
    <row r="52" spans="1:30" ht="16.2" customHeight="1">
      <c r="A52" s="216"/>
      <c r="B52" s="165" t="s">
        <v>590</v>
      </c>
      <c r="C52" s="204">
        <v>0.4</v>
      </c>
      <c r="D52" s="33" t="s">
        <v>245</v>
      </c>
      <c r="E52" s="34">
        <v>10</v>
      </c>
      <c r="F52" s="13" t="s">
        <v>246</v>
      </c>
      <c r="G52" s="35">
        <v>5</v>
      </c>
      <c r="H52" s="13"/>
      <c r="I52" s="34"/>
      <c r="J52" s="13" t="s">
        <v>246</v>
      </c>
      <c r="K52" s="14">
        <v>5</v>
      </c>
      <c r="L52" s="21" t="s">
        <v>651</v>
      </c>
      <c r="M52" s="35">
        <v>20</v>
      </c>
      <c r="N52" s="36" t="s">
        <v>247</v>
      </c>
      <c r="O52" s="37" t="s">
        <v>248</v>
      </c>
      <c r="P52" s="24">
        <v>0</v>
      </c>
      <c r="Q52" s="25" t="s">
        <v>242</v>
      </c>
      <c r="R52" s="26" t="s">
        <v>249</v>
      </c>
      <c r="S52" s="27">
        <f>P51*5+P54*4+P55*5</f>
        <v>0</v>
      </c>
      <c r="T52" s="25" t="s">
        <v>244</v>
      </c>
      <c r="U52" s="28" t="e">
        <f>S52*9/S50</f>
        <v>#DIV/0!</v>
      </c>
      <c r="W52" s="36" t="s">
        <v>247</v>
      </c>
      <c r="X52" s="23" t="s">
        <v>5</v>
      </c>
      <c r="Y52" s="24">
        <f>G51/40+E56/55+K54*0.65/35+C51*0.6/40</f>
        <v>2.9740259740259738</v>
      </c>
      <c r="Z52" s="25" t="s">
        <v>262</v>
      </c>
      <c r="AA52" s="26" t="s">
        <v>339</v>
      </c>
      <c r="AB52" s="27">
        <f>Y51*15+Y53*5+Y54*15+Y55*12</f>
        <v>123.98181818181818</v>
      </c>
      <c r="AC52" s="25" t="s">
        <v>264</v>
      </c>
      <c r="AD52" s="28">
        <f>AB52*4/AB51</f>
        <v>0.55745039406217756</v>
      </c>
    </row>
    <row r="53" spans="1:30" ht="16.2" customHeight="1">
      <c r="A53" s="216"/>
      <c r="B53" s="33"/>
      <c r="C53" s="38"/>
      <c r="D53" s="33" t="s">
        <v>246</v>
      </c>
      <c r="E53" s="38">
        <v>5</v>
      </c>
      <c r="F53" s="33" t="s">
        <v>252</v>
      </c>
      <c r="G53" s="34">
        <v>1</v>
      </c>
      <c r="H53" s="39"/>
      <c r="I53" s="14"/>
      <c r="J53" s="40" t="s">
        <v>253</v>
      </c>
      <c r="K53" s="35">
        <v>0.5</v>
      </c>
      <c r="L53" s="13"/>
      <c r="M53" s="88"/>
      <c r="N53" s="22">
        <f>S52</f>
        <v>0</v>
      </c>
      <c r="O53" s="41" t="s">
        <v>254</v>
      </c>
      <c r="P53" s="42">
        <v>0</v>
      </c>
      <c r="Q53" s="25" t="s">
        <v>230</v>
      </c>
      <c r="R53" s="26" t="s">
        <v>255</v>
      </c>
      <c r="S53" s="27">
        <f>P50*2+P51*7+P52*1+P54*8</f>
        <v>0</v>
      </c>
      <c r="T53" s="25" t="s">
        <v>256</v>
      </c>
      <c r="U53" s="28" t="e">
        <f>S53*4/S50</f>
        <v>#DIV/0!</v>
      </c>
      <c r="W53" s="22">
        <f>AB53</f>
        <v>26.870129870129869</v>
      </c>
      <c r="X53" s="37" t="s">
        <v>318</v>
      </c>
      <c r="Y53" s="24">
        <f>(E51+E52+E53+E54+G52+I51+K51+K52)/100</f>
        <v>1.86</v>
      </c>
      <c r="Z53" s="25" t="s">
        <v>262</v>
      </c>
      <c r="AA53" s="26" t="s">
        <v>319</v>
      </c>
      <c r="AB53" s="27">
        <f>Y52*5+Y55*4+Y56*5</f>
        <v>26.870129870129869</v>
      </c>
      <c r="AC53" s="25" t="s">
        <v>264</v>
      </c>
      <c r="AD53" s="28">
        <f>AB53*9/AB51</f>
        <v>0.27183195556092765</v>
      </c>
    </row>
    <row r="54" spans="1:30" ht="16.2" customHeight="1">
      <c r="A54" s="216"/>
      <c r="B54" s="43"/>
      <c r="C54" s="44"/>
      <c r="D54" s="45" t="s">
        <v>258</v>
      </c>
      <c r="E54" s="35">
        <v>1</v>
      </c>
      <c r="F54" s="13"/>
      <c r="G54" s="14"/>
      <c r="H54" s="39"/>
      <c r="I54" s="14"/>
      <c r="J54" t="s">
        <v>593</v>
      </c>
      <c r="K54" s="35">
        <v>15</v>
      </c>
      <c r="L54" s="33"/>
      <c r="M54" s="64"/>
      <c r="N54" s="36" t="s">
        <v>259</v>
      </c>
      <c r="O54" s="49" t="s">
        <v>9</v>
      </c>
      <c r="P54" s="42">
        <v>0</v>
      </c>
      <c r="Q54" s="25" t="s">
        <v>242</v>
      </c>
      <c r="R54" s="50"/>
      <c r="S54" s="50"/>
      <c r="T54" s="50"/>
      <c r="U54" s="51" t="e">
        <f>SUM(U51:U53)</f>
        <v>#DIV/0!</v>
      </c>
      <c r="W54" s="36" t="s">
        <v>260</v>
      </c>
      <c r="X54" s="49" t="s">
        <v>261</v>
      </c>
      <c r="Y54" s="42">
        <v>0</v>
      </c>
      <c r="Z54" s="25" t="s">
        <v>262</v>
      </c>
      <c r="AA54" s="26" t="s">
        <v>263</v>
      </c>
      <c r="AB54" s="27">
        <f>Y51*2+Y52*7+Y53*1+Y55*8</f>
        <v>37.969090909090909</v>
      </c>
      <c r="AC54" s="25" t="s">
        <v>264</v>
      </c>
      <c r="AD54" s="28">
        <f>AB54*4/AB51</f>
        <v>0.17071765037689476</v>
      </c>
    </row>
    <row r="55" spans="1:30" ht="16.2" customHeight="1">
      <c r="A55" s="227" t="s">
        <v>267</v>
      </c>
      <c r="B55" s="43"/>
      <c r="C55" s="53"/>
      <c r="D55" s="47" t="s">
        <v>268</v>
      </c>
      <c r="E55" s="48">
        <v>8</v>
      </c>
      <c r="F55" s="13"/>
      <c r="G55" s="14"/>
      <c r="H55" s="39"/>
      <c r="I55" s="14"/>
      <c r="J55" s="202" t="s">
        <v>590</v>
      </c>
      <c r="K55" s="82">
        <v>0.35</v>
      </c>
      <c r="L55" s="33"/>
      <c r="M55" s="64"/>
      <c r="N55" s="22">
        <f>S53</f>
        <v>0</v>
      </c>
      <c r="O55" s="55" t="s">
        <v>269</v>
      </c>
      <c r="P55" s="42">
        <v>0</v>
      </c>
      <c r="Q55" s="25" t="s">
        <v>262</v>
      </c>
      <c r="R55" s="56"/>
      <c r="S55" s="56"/>
      <c r="T55" s="56"/>
      <c r="U55" s="57"/>
      <c r="W55" s="22">
        <f>AB54</f>
        <v>37.969090909090909</v>
      </c>
      <c r="X55" s="49" t="s">
        <v>9</v>
      </c>
      <c r="Y55" s="42">
        <v>0</v>
      </c>
      <c r="Z55" s="25" t="s">
        <v>262</v>
      </c>
      <c r="AA55" s="50"/>
      <c r="AB55" s="50"/>
      <c r="AC55" s="50"/>
      <c r="AD55" s="51">
        <f>SUM(AD52:AD54)</f>
        <v>1</v>
      </c>
    </row>
    <row r="56" spans="1:30" ht="16.2" customHeight="1" thickBot="1">
      <c r="A56" s="227"/>
      <c r="B56" s="43"/>
      <c r="C56" s="53"/>
      <c r="D56" s="45" t="s">
        <v>271</v>
      </c>
      <c r="E56" s="48">
        <v>8</v>
      </c>
      <c r="F56" s="21"/>
      <c r="G56" s="35"/>
      <c r="H56" s="39"/>
      <c r="I56" s="14"/>
      <c r="J56" s="58"/>
      <c r="K56" s="35"/>
      <c r="L56" s="33"/>
      <c r="M56" s="64"/>
      <c r="N56" s="36" t="s">
        <v>272</v>
      </c>
      <c r="O56" s="59" t="s">
        <v>273</v>
      </c>
      <c r="P56" s="60">
        <f>P50*68+P51*73+P52*24+P53*60+P54*112+P55*45</f>
        <v>0</v>
      </c>
      <c r="Q56" s="61" t="s">
        <v>274</v>
      </c>
      <c r="R56" s="62"/>
      <c r="S56" s="62"/>
      <c r="T56" s="62"/>
      <c r="U56" s="63"/>
      <c r="W56" s="36" t="s">
        <v>272</v>
      </c>
      <c r="X56" s="55" t="s">
        <v>269</v>
      </c>
      <c r="Y56" s="42">
        <v>2.4</v>
      </c>
      <c r="Z56" s="25" t="s">
        <v>262</v>
      </c>
      <c r="AA56" s="56"/>
      <c r="AB56" s="56"/>
      <c r="AC56" s="56"/>
      <c r="AD56" s="57"/>
    </row>
    <row r="57" spans="1:30" ht="16.2" customHeight="1" thickBot="1">
      <c r="A57" s="228"/>
      <c r="B57" s="223" t="s">
        <v>591</v>
      </c>
      <c r="C57" s="224"/>
      <c r="D57" s="223" t="s">
        <v>215</v>
      </c>
      <c r="E57" s="224"/>
      <c r="F57" s="223" t="s">
        <v>275</v>
      </c>
      <c r="G57" s="224"/>
      <c r="H57" s="223" t="s">
        <v>197</v>
      </c>
      <c r="I57" s="224"/>
      <c r="J57" s="223" t="s">
        <v>196</v>
      </c>
      <c r="K57" s="224"/>
      <c r="L57" s="223" t="s">
        <v>198</v>
      </c>
      <c r="M57" s="224"/>
      <c r="N57" s="65">
        <f>P56</f>
        <v>0</v>
      </c>
      <c r="O57" s="66"/>
      <c r="P57" s="67"/>
      <c r="Q57" s="67"/>
      <c r="R57" s="67"/>
      <c r="S57" s="67"/>
      <c r="T57" s="67"/>
      <c r="U57" s="68"/>
      <c r="W57" s="65">
        <f>Y57</f>
        <v>889.63480519480515</v>
      </c>
      <c r="X57" s="59" t="s">
        <v>273</v>
      </c>
      <c r="Y57" s="60">
        <f>Y51*68+Y52*73+Y53*24+Y54*60+Y55*112+Y56*45</f>
        <v>889.63480519480515</v>
      </c>
      <c r="Z57" s="61" t="s">
        <v>274</v>
      </c>
      <c r="AA57" s="62"/>
      <c r="AB57" s="62"/>
      <c r="AC57" s="62"/>
      <c r="AD57" s="63"/>
    </row>
    <row r="58" spans="1:30" ht="16.2" customHeight="1" thickBot="1">
      <c r="A58" s="215">
        <f>A50+1</f>
        <v>44075</v>
      </c>
      <c r="B58" s="219" t="s">
        <v>276</v>
      </c>
      <c r="C58" s="220"/>
      <c r="D58" s="219" t="s">
        <v>277</v>
      </c>
      <c r="E58" s="220"/>
      <c r="F58" s="217" t="s">
        <v>594</v>
      </c>
      <c r="G58" s="218"/>
      <c r="H58" s="217" t="s">
        <v>278</v>
      </c>
      <c r="I58" s="218"/>
      <c r="J58" s="217" t="s">
        <v>279</v>
      </c>
      <c r="K58" s="218"/>
      <c r="L58" s="221" t="s">
        <v>280</v>
      </c>
      <c r="M58" s="222"/>
      <c r="N58" s="6" t="s">
        <v>234</v>
      </c>
      <c r="O58" s="205" t="s">
        <v>235</v>
      </c>
      <c r="P58" s="206"/>
      <c r="Q58" s="207"/>
      <c r="R58" s="208" t="s">
        <v>236</v>
      </c>
      <c r="S58" s="209"/>
      <c r="T58" s="209"/>
      <c r="U58" s="210"/>
      <c r="W58" s="6" t="s">
        <v>234</v>
      </c>
      <c r="X58" s="196" t="s">
        <v>235</v>
      </c>
      <c r="Y58" s="197"/>
      <c r="Z58" s="198"/>
      <c r="AA58" s="199" t="s">
        <v>236</v>
      </c>
      <c r="AB58" s="200"/>
      <c r="AC58" s="200"/>
      <c r="AD58" s="201"/>
    </row>
    <row r="59" spans="1:30" ht="16.2" customHeight="1">
      <c r="A59" s="216"/>
      <c r="B59" s="69" t="s">
        <v>281</v>
      </c>
      <c r="C59" s="70">
        <v>75</v>
      </c>
      <c r="D59" s="19" t="s">
        <v>282</v>
      </c>
      <c r="E59" s="71">
        <v>20</v>
      </c>
      <c r="F59" s="72" t="s">
        <v>283</v>
      </c>
      <c r="G59" s="73">
        <v>35</v>
      </c>
      <c r="H59" s="19" t="s">
        <v>284</v>
      </c>
      <c r="I59" s="20">
        <v>100</v>
      </c>
      <c r="J59" s="69" t="s">
        <v>285</v>
      </c>
      <c r="K59" s="70">
        <v>20</v>
      </c>
      <c r="L59" s="21" t="s">
        <v>286</v>
      </c>
      <c r="M59" s="18">
        <v>110</v>
      </c>
      <c r="N59" s="22">
        <f>S60</f>
        <v>101.90909090909091</v>
      </c>
      <c r="O59" s="7" t="s">
        <v>0</v>
      </c>
      <c r="P59" s="42">
        <f>M59/20+M60/55</f>
        <v>6.2272727272727275</v>
      </c>
      <c r="Q59" s="9" t="s">
        <v>230</v>
      </c>
      <c r="R59" s="74" t="s">
        <v>231</v>
      </c>
      <c r="S59" s="75">
        <f>P65</f>
        <v>779.53074314574314</v>
      </c>
      <c r="T59" s="76" t="s">
        <v>232</v>
      </c>
      <c r="U59" s="77" t="s">
        <v>233</v>
      </c>
      <c r="W59" s="22">
        <f>AB60</f>
        <v>123.16470588235293</v>
      </c>
      <c r="X59" s="7" t="s">
        <v>0</v>
      </c>
      <c r="Y59" s="8">
        <f>M59/20+M60/20+E60/85</f>
        <v>7.617647058823529</v>
      </c>
      <c r="Z59" s="9" t="s">
        <v>262</v>
      </c>
      <c r="AA59" s="74" t="s">
        <v>306</v>
      </c>
      <c r="AB59" s="75">
        <f>Y65</f>
        <v>874.2576623376624</v>
      </c>
      <c r="AC59" s="76" t="s">
        <v>274</v>
      </c>
      <c r="AD59" s="77" t="s">
        <v>334</v>
      </c>
    </row>
    <row r="60" spans="1:30" ht="16.2" customHeight="1">
      <c r="A60" s="216"/>
      <c r="B60" s="39" t="s">
        <v>288</v>
      </c>
      <c r="C60" s="78">
        <v>10</v>
      </c>
      <c r="D60" s="13" t="s">
        <v>289</v>
      </c>
      <c r="E60" s="34">
        <v>10</v>
      </c>
      <c r="F60" s="79" t="s">
        <v>251</v>
      </c>
      <c r="G60" s="80">
        <v>8</v>
      </c>
      <c r="H60" s="13"/>
      <c r="I60" s="34"/>
      <c r="J60" s="21" t="s">
        <v>245</v>
      </c>
      <c r="K60" s="35">
        <v>15</v>
      </c>
      <c r="L60" s="21" t="s">
        <v>290</v>
      </c>
      <c r="M60" s="35">
        <v>40</v>
      </c>
      <c r="N60" s="36" t="s">
        <v>247</v>
      </c>
      <c r="O60" s="23" t="s">
        <v>5</v>
      </c>
      <c r="P60" s="24">
        <f>C59/35+E59/80+E60/225+E63/35+G60/55+K60*0.52/40</f>
        <v>2.7777561327561324</v>
      </c>
      <c r="Q60" s="25" t="s">
        <v>242</v>
      </c>
      <c r="R60" s="26" t="s">
        <v>243</v>
      </c>
      <c r="S60" s="27">
        <f>P59*15+P61*5+P62*15+P63*12</f>
        <v>101.90909090909091</v>
      </c>
      <c r="T60" s="25" t="s">
        <v>244</v>
      </c>
      <c r="U60" s="28">
        <f>S60*4/S59</f>
        <v>0.52292532041953199</v>
      </c>
      <c r="W60" s="36" t="s">
        <v>247</v>
      </c>
      <c r="X60" s="23" t="s">
        <v>5</v>
      </c>
      <c r="Y60" s="24">
        <f>C59/35+E59/50+G61/55+K59/110</f>
        <v>2.8155844155844152</v>
      </c>
      <c r="Z60" s="25" t="s">
        <v>262</v>
      </c>
      <c r="AA60" s="26" t="s">
        <v>339</v>
      </c>
      <c r="AB60" s="27">
        <f>Y59*15+Y61*5+Y62*15+Y63*12</f>
        <v>123.16470588235293</v>
      </c>
      <c r="AC60" s="25" t="s">
        <v>264</v>
      </c>
      <c r="AD60" s="28">
        <f>AB60*4/AB59</f>
        <v>0.56351673511456546</v>
      </c>
    </row>
    <row r="61" spans="1:30" ht="16.2" customHeight="1">
      <c r="A61" s="216"/>
      <c r="B61" s="33" t="s">
        <v>246</v>
      </c>
      <c r="C61" s="14">
        <v>3</v>
      </c>
      <c r="D61" s="33" t="s">
        <v>246</v>
      </c>
      <c r="E61" s="71">
        <v>5</v>
      </c>
      <c r="F61" s="79" t="s">
        <v>595</v>
      </c>
      <c r="G61" s="80">
        <v>5</v>
      </c>
      <c r="H61" s="39"/>
      <c r="I61" s="14"/>
      <c r="J61" s="83" t="s">
        <v>291</v>
      </c>
      <c r="K61" s="38">
        <v>1</v>
      </c>
      <c r="L61" s="84"/>
      <c r="M61" s="85"/>
      <c r="N61" s="22">
        <f>S61</f>
        <v>26.388780663780661</v>
      </c>
      <c r="O61" s="37" t="s">
        <v>248</v>
      </c>
      <c r="P61" s="24">
        <f>(E60+E61+G59+I59+I60+K59)/100</f>
        <v>1.7</v>
      </c>
      <c r="Q61" s="25" t="s">
        <v>242</v>
      </c>
      <c r="R61" s="26" t="s">
        <v>249</v>
      </c>
      <c r="S61" s="27">
        <f>P60*5+P63*4+P64*5</f>
        <v>26.388780663780661</v>
      </c>
      <c r="T61" s="25" t="s">
        <v>244</v>
      </c>
      <c r="U61" s="28">
        <f>S61*9/S59</f>
        <v>0.3046692231990939</v>
      </c>
      <c r="W61" s="22">
        <f>AB61</f>
        <v>26.077922077922075</v>
      </c>
      <c r="X61" s="37" t="s">
        <v>318</v>
      </c>
      <c r="Y61" s="24">
        <f>(C60+C61+E61+G59+G60+G62+I59+K60+K61)/100</f>
        <v>1.78</v>
      </c>
      <c r="Z61" s="25" t="s">
        <v>262</v>
      </c>
      <c r="AA61" s="26" t="s">
        <v>319</v>
      </c>
      <c r="AB61" s="27">
        <f>Y60*5+Y63*4+Y64*5</f>
        <v>26.077922077922075</v>
      </c>
      <c r="AC61" s="25" t="s">
        <v>264</v>
      </c>
      <c r="AD61" s="28">
        <f>AB61*9/AB59</f>
        <v>0.26845781148058223</v>
      </c>
    </row>
    <row r="62" spans="1:30" ht="16.2" customHeight="1">
      <c r="A62" s="216"/>
      <c r="B62" s="13" t="s">
        <v>292</v>
      </c>
      <c r="C62" s="14">
        <v>1</v>
      </c>
      <c r="D62" s="43" t="s">
        <v>293</v>
      </c>
      <c r="E62" s="14">
        <v>1</v>
      </c>
      <c r="F62" s="79" t="s">
        <v>258</v>
      </c>
      <c r="G62" s="71">
        <v>1</v>
      </c>
      <c r="H62" s="39"/>
      <c r="I62" s="14"/>
      <c r="J62" s="21" t="s">
        <v>294</v>
      </c>
      <c r="K62" s="35">
        <v>1</v>
      </c>
      <c r="L62" s="84"/>
      <c r="M62" s="85"/>
      <c r="N62" s="36" t="s">
        <v>259</v>
      </c>
      <c r="O62" s="41" t="s">
        <v>295</v>
      </c>
      <c r="P62" s="42">
        <v>0</v>
      </c>
      <c r="Q62" s="25" t="s">
        <v>242</v>
      </c>
      <c r="R62" s="26" t="s">
        <v>296</v>
      </c>
      <c r="S62" s="27">
        <f>P59*2+P60*7+P61*1+P63*8</f>
        <v>33.598838383838384</v>
      </c>
      <c r="T62" s="25" t="s">
        <v>244</v>
      </c>
      <c r="U62" s="28">
        <f>S62*4/S59</f>
        <v>0.17240545638137408</v>
      </c>
      <c r="W62" s="36" t="s">
        <v>259</v>
      </c>
      <c r="X62" s="49" t="s">
        <v>261</v>
      </c>
      <c r="Y62" s="42">
        <v>0</v>
      </c>
      <c r="Z62" s="25" t="s">
        <v>262</v>
      </c>
      <c r="AA62" s="26" t="s">
        <v>263</v>
      </c>
      <c r="AB62" s="27">
        <f>Y59*2+Y60*7+Y61*1+Y63*8</f>
        <v>36.724385026737963</v>
      </c>
      <c r="AC62" s="25" t="s">
        <v>264</v>
      </c>
      <c r="AD62" s="28">
        <f>AB62*4/AB59</f>
        <v>0.16802545340485214</v>
      </c>
    </row>
    <row r="63" spans="1:30" ht="16.2" customHeight="1">
      <c r="A63" s="227" t="s">
        <v>297</v>
      </c>
      <c r="B63" s="31"/>
      <c r="C63" s="32"/>
      <c r="D63" s="43"/>
      <c r="E63" s="86"/>
      <c r="F63" s="87"/>
      <c r="G63" s="88"/>
      <c r="H63" s="39"/>
      <c r="I63" s="14"/>
      <c r="J63" s="21"/>
      <c r="K63" s="35"/>
      <c r="L63" s="84"/>
      <c r="M63" s="85"/>
      <c r="N63" s="22">
        <f>S62</f>
        <v>33.598838383838384</v>
      </c>
      <c r="O63" s="49" t="s">
        <v>9</v>
      </c>
      <c r="P63" s="42">
        <v>0</v>
      </c>
      <c r="Q63" s="25" t="s">
        <v>262</v>
      </c>
      <c r="R63" s="50"/>
      <c r="S63" s="50"/>
      <c r="T63" s="50"/>
      <c r="U63" s="51">
        <f>SUM(U60:U62)</f>
        <v>0.99999999999999989</v>
      </c>
      <c r="W63" s="22">
        <f>AB62</f>
        <v>36.724385026737963</v>
      </c>
      <c r="X63" s="49" t="s">
        <v>9</v>
      </c>
      <c r="Y63" s="42">
        <v>0</v>
      </c>
      <c r="Z63" s="25" t="s">
        <v>262</v>
      </c>
      <c r="AA63" s="50"/>
      <c r="AB63" s="50"/>
      <c r="AC63" s="50"/>
      <c r="AD63" s="51">
        <f>SUM(AD60:AD62)</f>
        <v>0.99999999999999978</v>
      </c>
    </row>
    <row r="64" spans="1:30" ht="16.2" customHeight="1">
      <c r="A64" s="227"/>
      <c r="B64" s="31"/>
      <c r="C64" s="32"/>
      <c r="D64" s="13"/>
      <c r="E64" s="14"/>
      <c r="F64" s="87"/>
      <c r="G64" s="88"/>
      <c r="H64" s="39"/>
      <c r="I64" s="14"/>
      <c r="J64" s="21"/>
      <c r="K64" s="35"/>
      <c r="L64" s="84"/>
      <c r="M64" s="85"/>
      <c r="N64" s="36" t="s">
        <v>272</v>
      </c>
      <c r="O64" s="55" t="s">
        <v>269</v>
      </c>
      <c r="P64" s="42">
        <v>2.5</v>
      </c>
      <c r="Q64" s="25" t="s">
        <v>262</v>
      </c>
      <c r="R64" s="56"/>
      <c r="S64" s="56"/>
      <c r="T64" s="56"/>
      <c r="U64" s="57"/>
      <c r="W64" s="36" t="s">
        <v>272</v>
      </c>
      <c r="X64" s="55" t="s">
        <v>269</v>
      </c>
      <c r="Y64" s="42">
        <v>2.4</v>
      </c>
      <c r="Z64" s="25" t="s">
        <v>262</v>
      </c>
      <c r="AA64" s="56"/>
      <c r="AB64" s="56"/>
      <c r="AC64" s="56"/>
      <c r="AD64" s="57"/>
    </row>
    <row r="65" spans="1:30" ht="16.2" customHeight="1" thickBot="1">
      <c r="A65" s="228"/>
      <c r="B65" s="223" t="s">
        <v>195</v>
      </c>
      <c r="C65" s="224"/>
      <c r="D65" s="223" t="s">
        <v>195</v>
      </c>
      <c r="E65" s="224"/>
      <c r="F65" s="223" t="s">
        <v>195</v>
      </c>
      <c r="G65" s="224"/>
      <c r="H65" s="223" t="s">
        <v>197</v>
      </c>
      <c r="I65" s="224"/>
      <c r="J65" s="223" t="s">
        <v>196</v>
      </c>
      <c r="K65" s="224"/>
      <c r="L65" s="223" t="s">
        <v>198</v>
      </c>
      <c r="M65" s="224"/>
      <c r="N65" s="65">
        <f>P65</f>
        <v>779.53074314574314</v>
      </c>
      <c r="O65" s="59" t="s">
        <v>273</v>
      </c>
      <c r="P65" s="60">
        <f>P59*68+P60*73+P61*24+P62*60+P63*112+P64*45</f>
        <v>779.53074314574314</v>
      </c>
      <c r="Q65" s="61" t="s">
        <v>274</v>
      </c>
      <c r="R65" s="62"/>
      <c r="S65" s="62"/>
      <c r="T65" s="62"/>
      <c r="U65" s="63"/>
      <c r="W65" s="65">
        <f>Y65</f>
        <v>874.2576623376624</v>
      </c>
      <c r="X65" s="59" t="s">
        <v>273</v>
      </c>
      <c r="Y65" s="60">
        <f>Y59*68+Y60*73+Y61*24+Y62*60+Y63*112+Y64*45</f>
        <v>874.2576623376624</v>
      </c>
      <c r="Z65" s="61" t="s">
        <v>274</v>
      </c>
      <c r="AA65" s="62"/>
      <c r="AB65" s="62"/>
      <c r="AC65" s="62"/>
      <c r="AD65" s="63"/>
    </row>
    <row r="66" spans="1:30" ht="16.2" customHeight="1" thickBot="1">
      <c r="A66" s="215">
        <f>A58+1</f>
        <v>44076</v>
      </c>
      <c r="B66" s="219" t="s">
        <v>390</v>
      </c>
      <c r="C66" s="220"/>
      <c r="D66" s="217" t="s">
        <v>300</v>
      </c>
      <c r="E66" s="218"/>
      <c r="F66" s="217" t="s">
        <v>598</v>
      </c>
      <c r="G66" s="218"/>
      <c r="H66" s="217" t="s">
        <v>185</v>
      </c>
      <c r="I66" s="218"/>
      <c r="J66" s="219" t="s">
        <v>600</v>
      </c>
      <c r="K66" s="220"/>
      <c r="L66" s="221" t="s">
        <v>596</v>
      </c>
      <c r="M66" s="226"/>
      <c r="N66" s="6" t="s">
        <v>301</v>
      </c>
      <c r="O66" s="205" t="s">
        <v>302</v>
      </c>
      <c r="P66" s="206"/>
      <c r="Q66" s="207"/>
      <c r="R66" s="208" t="s">
        <v>303</v>
      </c>
      <c r="S66" s="209"/>
      <c r="T66" s="209"/>
      <c r="U66" s="210"/>
      <c r="W66" s="6" t="s">
        <v>301</v>
      </c>
      <c r="X66" s="196" t="s">
        <v>302</v>
      </c>
      <c r="Y66" s="197"/>
      <c r="Z66" s="198"/>
      <c r="AA66" s="199" t="s">
        <v>303</v>
      </c>
      <c r="AB66" s="200"/>
      <c r="AC66" s="200"/>
      <c r="AD66" s="201"/>
    </row>
    <row r="67" spans="1:30" ht="16.2" customHeight="1">
      <c r="A67" s="216"/>
      <c r="B67" s="33" t="s">
        <v>307</v>
      </c>
      <c r="C67" s="38">
        <v>150</v>
      </c>
      <c r="D67" s="19" t="s">
        <v>304</v>
      </c>
      <c r="E67" s="30">
        <v>30</v>
      </c>
      <c r="F67" s="19" t="s">
        <v>598</v>
      </c>
      <c r="G67" s="30">
        <v>30</v>
      </c>
      <c r="H67" s="19" t="s">
        <v>305</v>
      </c>
      <c r="I67" s="20">
        <v>120</v>
      </c>
      <c r="J67" s="90" t="s">
        <v>601</v>
      </c>
      <c r="K67" s="70">
        <v>15</v>
      </c>
      <c r="L67" s="113" t="s">
        <v>627</v>
      </c>
      <c r="M67" s="92">
        <v>130</v>
      </c>
      <c r="N67" s="22">
        <f>S68</f>
        <v>108.5</v>
      </c>
      <c r="O67" s="7" t="s">
        <v>0</v>
      </c>
      <c r="P67" s="8">
        <f>M67/20+E70/2/30</f>
        <v>6.583333333333333</v>
      </c>
      <c r="Q67" s="9" t="s">
        <v>242</v>
      </c>
      <c r="R67" s="74" t="s">
        <v>287</v>
      </c>
      <c r="S67" s="75">
        <f>P73</f>
        <v>916.69523809523798</v>
      </c>
      <c r="T67" s="76" t="s">
        <v>274</v>
      </c>
      <c r="U67" s="93"/>
      <c r="W67" s="22">
        <f>AB68</f>
        <v>122.18235294117646</v>
      </c>
      <c r="X67" s="7" t="s">
        <v>0</v>
      </c>
      <c r="Y67" s="8">
        <f>M67/20+M69/85+G67/30</f>
        <v>7.5588235294117645</v>
      </c>
      <c r="Z67" s="9" t="s">
        <v>262</v>
      </c>
      <c r="AA67" s="74" t="s">
        <v>306</v>
      </c>
      <c r="AB67" s="75">
        <f>Y73</f>
        <v>862.30052631578951</v>
      </c>
      <c r="AC67" s="76" t="s">
        <v>274</v>
      </c>
      <c r="AD67" s="93"/>
    </row>
    <row r="68" spans="1:30" ht="16.2" customHeight="1">
      <c r="A68" s="216"/>
      <c r="B68" s="81" t="s">
        <v>308</v>
      </c>
      <c r="C68" s="82">
        <v>0.4</v>
      </c>
      <c r="D68" s="94" t="s">
        <v>309</v>
      </c>
      <c r="E68" s="52">
        <v>15</v>
      </c>
      <c r="F68" s="94"/>
      <c r="G68" s="52"/>
      <c r="H68" s="13"/>
      <c r="I68" s="34"/>
      <c r="J68" s="95" t="s">
        <v>602</v>
      </c>
      <c r="K68" s="96">
        <v>5</v>
      </c>
      <c r="L68" s="39" t="s">
        <v>630</v>
      </c>
      <c r="M68" s="85">
        <v>10</v>
      </c>
      <c r="N68" s="36" t="s">
        <v>310</v>
      </c>
      <c r="O68" s="23" t="s">
        <v>5</v>
      </c>
      <c r="P68" s="24">
        <f>C67*0.92/35+E69/35+E70/2/35+G69/35+K68/35</f>
        <v>4.2428571428571429</v>
      </c>
      <c r="Q68" s="25" t="s">
        <v>311</v>
      </c>
      <c r="R68" s="26" t="s">
        <v>312</v>
      </c>
      <c r="S68" s="27">
        <f>P67*15+P69*5+P70*15+P71*12</f>
        <v>108.5</v>
      </c>
      <c r="T68" s="25" t="s">
        <v>313</v>
      </c>
      <c r="U68" s="28">
        <f>S68*4/S67</f>
        <v>0.47343978888969701</v>
      </c>
      <c r="W68" s="36" t="s">
        <v>310</v>
      </c>
      <c r="X68" s="23" t="s">
        <v>5</v>
      </c>
      <c r="Y68" s="24">
        <f>C67*0.6/40+E70/50+M68/38+M72/50</f>
        <v>2.7131578947368422</v>
      </c>
      <c r="Z68" s="25" t="s">
        <v>262</v>
      </c>
      <c r="AA68" s="26" t="s">
        <v>339</v>
      </c>
      <c r="AB68" s="27">
        <f>Y67*15+Y69*5+Y70*15+Y71*12</f>
        <v>122.18235294117646</v>
      </c>
      <c r="AC68" s="25" t="s">
        <v>264</v>
      </c>
      <c r="AD68" s="28">
        <f>AB68*4/AB67</f>
        <v>0.56677387621786579</v>
      </c>
    </row>
    <row r="69" spans="1:30" ht="16.2" customHeight="1">
      <c r="A69" s="216"/>
      <c r="B69" s="33"/>
      <c r="C69" s="38"/>
      <c r="D69" s="21" t="s">
        <v>315</v>
      </c>
      <c r="E69" s="14">
        <v>3</v>
      </c>
      <c r="F69" s="21"/>
      <c r="G69" s="14"/>
      <c r="H69" s="39"/>
      <c r="I69" s="14"/>
      <c r="J69" s="95"/>
      <c r="K69" s="96"/>
      <c r="L69" s="39" t="s">
        <v>628</v>
      </c>
      <c r="M69" s="85">
        <v>5</v>
      </c>
      <c r="N69" s="22">
        <f>S69</f>
        <v>33.714285714285715</v>
      </c>
      <c r="O69" s="37" t="s">
        <v>316</v>
      </c>
      <c r="P69" s="24">
        <f>(K69+I67+G67+G68+G70+G71+E67+E68+E71+E72)/100</f>
        <v>1.95</v>
      </c>
      <c r="Q69" s="25" t="s">
        <v>311</v>
      </c>
      <c r="R69" s="26" t="s">
        <v>317</v>
      </c>
      <c r="S69" s="27">
        <f>P68*5+P71*4+P72*5</f>
        <v>33.714285714285715</v>
      </c>
      <c r="T69" s="25" t="s">
        <v>313</v>
      </c>
      <c r="U69" s="28">
        <f>S69*9/S67</f>
        <v>0.33100267004664796</v>
      </c>
      <c r="W69" s="22">
        <f>AB69</f>
        <v>25.565789473684212</v>
      </c>
      <c r="X69" s="37" t="s">
        <v>318</v>
      </c>
      <c r="Y69" s="24">
        <f>(E67+E68+E69+I67+M70+M71)/100</f>
        <v>1.76</v>
      </c>
      <c r="Z69" s="25" t="s">
        <v>262</v>
      </c>
      <c r="AA69" s="26" t="s">
        <v>319</v>
      </c>
      <c r="AB69" s="27">
        <f>Y68*5+Y71*4+Y72*5</f>
        <v>25.565789473684212</v>
      </c>
      <c r="AC69" s="25" t="s">
        <v>264</v>
      </c>
      <c r="AD69" s="28">
        <f>AB69*9/AB67</f>
        <v>0.26683516737051621</v>
      </c>
    </row>
    <row r="70" spans="1:30" ht="16.2" customHeight="1">
      <c r="A70" s="216"/>
      <c r="B70" s="33"/>
      <c r="C70" s="38"/>
      <c r="D70" s="13" t="s">
        <v>320</v>
      </c>
      <c r="E70" s="14">
        <v>5</v>
      </c>
      <c r="F70" s="13"/>
      <c r="G70" s="14"/>
      <c r="H70" s="39"/>
      <c r="I70" s="14"/>
      <c r="J70" s="87"/>
      <c r="K70" s="35"/>
      <c r="L70" s="89" t="s">
        <v>635</v>
      </c>
      <c r="M70" s="32">
        <v>5</v>
      </c>
      <c r="N70" s="36" t="s">
        <v>321</v>
      </c>
      <c r="O70" s="41" t="s">
        <v>322</v>
      </c>
      <c r="P70" s="42">
        <v>0</v>
      </c>
      <c r="Q70" s="25" t="s">
        <v>311</v>
      </c>
      <c r="R70" s="26" t="s">
        <v>323</v>
      </c>
      <c r="S70" s="27">
        <f>P67*2+P68*7+P69*1+P71*8</f>
        <v>44.81666666666667</v>
      </c>
      <c r="T70" s="25" t="s">
        <v>313</v>
      </c>
      <c r="U70" s="28">
        <f>S70*4/S67</f>
        <v>0.19555754106365519</v>
      </c>
      <c r="W70" s="36" t="s">
        <v>321</v>
      </c>
      <c r="X70" s="49" t="s">
        <v>261</v>
      </c>
      <c r="Y70" s="42">
        <v>0</v>
      </c>
      <c r="Z70" s="25" t="s">
        <v>262</v>
      </c>
      <c r="AA70" s="26" t="s">
        <v>263</v>
      </c>
      <c r="AB70" s="27">
        <f>Y67*2+Y68*7+Y69*1+Y71*8</f>
        <v>35.869752321981423</v>
      </c>
      <c r="AC70" s="25" t="s">
        <v>264</v>
      </c>
      <c r="AD70" s="28">
        <f>AB70*4/AB67</f>
        <v>0.16639095641161789</v>
      </c>
    </row>
    <row r="71" spans="1:30" ht="16.2" customHeight="1">
      <c r="A71" s="227" t="s">
        <v>324</v>
      </c>
      <c r="B71" s="89"/>
      <c r="C71" s="32"/>
      <c r="D71" s="102"/>
      <c r="E71" s="14"/>
      <c r="F71" s="102"/>
      <c r="G71" s="14"/>
      <c r="H71" s="39"/>
      <c r="I71" s="14"/>
      <c r="J71" s="89"/>
      <c r="K71" s="48"/>
      <c r="L71" s="39" t="s">
        <v>629</v>
      </c>
      <c r="M71" s="85">
        <v>3</v>
      </c>
      <c r="N71" s="22">
        <f>S70</f>
        <v>44.81666666666667</v>
      </c>
      <c r="O71" s="49" t="s">
        <v>9</v>
      </c>
      <c r="P71" s="42">
        <v>0</v>
      </c>
      <c r="Q71" s="25" t="s">
        <v>262</v>
      </c>
      <c r="R71" s="50"/>
      <c r="S71" s="50"/>
      <c r="T71" s="50"/>
      <c r="U71" s="51">
        <f>SUM(U68:U70)</f>
        <v>1.0000000000000002</v>
      </c>
      <c r="W71" s="22">
        <f>AB70</f>
        <v>35.869752321981423</v>
      </c>
      <c r="X71" s="49" t="s">
        <v>9</v>
      </c>
      <c r="Y71" s="42">
        <v>0</v>
      </c>
      <c r="Z71" s="25" t="s">
        <v>262</v>
      </c>
      <c r="AA71" s="50"/>
      <c r="AB71" s="50"/>
      <c r="AC71" s="50"/>
      <c r="AD71" s="51">
        <f>SUM(AD68:AD70)</f>
        <v>1</v>
      </c>
    </row>
    <row r="72" spans="1:30" ht="16.2" customHeight="1">
      <c r="A72" s="227"/>
      <c r="B72" s="89"/>
      <c r="C72" s="32"/>
      <c r="D72" s="21"/>
      <c r="E72" s="35"/>
      <c r="F72" s="21"/>
      <c r="G72" s="35"/>
      <c r="H72" s="39"/>
      <c r="I72" s="14"/>
      <c r="J72" s="103"/>
      <c r="K72" s="104"/>
      <c r="L72" s="21" t="s">
        <v>636</v>
      </c>
      <c r="M72" s="88">
        <v>5</v>
      </c>
      <c r="N72" s="36" t="s">
        <v>272</v>
      </c>
      <c r="O72" s="55" t="s">
        <v>269</v>
      </c>
      <c r="P72" s="42">
        <v>2.5</v>
      </c>
      <c r="Q72" s="25" t="s">
        <v>262</v>
      </c>
      <c r="R72" s="56"/>
      <c r="S72" s="56"/>
      <c r="T72" s="56"/>
      <c r="U72" s="57"/>
      <c r="W72" s="36" t="s">
        <v>272</v>
      </c>
      <c r="X72" s="55" t="s">
        <v>269</v>
      </c>
      <c r="Y72" s="42">
        <v>2.4</v>
      </c>
      <c r="Z72" s="25" t="s">
        <v>262</v>
      </c>
      <c r="AA72" s="56"/>
      <c r="AB72" s="56"/>
      <c r="AC72" s="56"/>
      <c r="AD72" s="57"/>
    </row>
    <row r="73" spans="1:30" ht="16.2" customHeight="1" thickBot="1">
      <c r="A73" s="228"/>
      <c r="B73" s="223" t="s">
        <v>597</v>
      </c>
      <c r="C73" s="224"/>
      <c r="D73" s="223" t="s">
        <v>195</v>
      </c>
      <c r="E73" s="224"/>
      <c r="F73" s="223" t="s">
        <v>599</v>
      </c>
      <c r="G73" s="224"/>
      <c r="H73" s="223" t="s">
        <v>197</v>
      </c>
      <c r="I73" s="224"/>
      <c r="J73" s="223" t="s">
        <v>196</v>
      </c>
      <c r="K73" s="224"/>
      <c r="L73" s="223" t="s">
        <v>202</v>
      </c>
      <c r="M73" s="224"/>
      <c r="N73" s="65">
        <f>P73</f>
        <v>916.69523809523798</v>
      </c>
      <c r="O73" s="59" t="s">
        <v>273</v>
      </c>
      <c r="P73" s="60">
        <f>P67*68+P68*73+P69*24+P70*60+P71*112+P72*45</f>
        <v>916.69523809523798</v>
      </c>
      <c r="Q73" s="61" t="s">
        <v>274</v>
      </c>
      <c r="R73" s="62"/>
      <c r="S73" s="62"/>
      <c r="T73" s="62"/>
      <c r="U73" s="63"/>
      <c r="W73" s="65">
        <f>Y73</f>
        <v>862.30052631578951</v>
      </c>
      <c r="X73" s="59" t="s">
        <v>273</v>
      </c>
      <c r="Y73" s="60">
        <f>Y67*68+Y68*73+Y69*24+Y70*60+Y71*112+Y72*45</f>
        <v>862.30052631578951</v>
      </c>
      <c r="Z73" s="61" t="s">
        <v>274</v>
      </c>
      <c r="AA73" s="62"/>
      <c r="AB73" s="62"/>
      <c r="AC73" s="62"/>
      <c r="AD73" s="63"/>
    </row>
    <row r="74" spans="1:30" ht="16.2" customHeight="1" thickBot="1">
      <c r="A74" s="215">
        <f>A66+1</f>
        <v>44077</v>
      </c>
      <c r="B74" s="221" t="s">
        <v>326</v>
      </c>
      <c r="C74" s="222"/>
      <c r="D74" s="219" t="s">
        <v>181</v>
      </c>
      <c r="E74" s="220"/>
      <c r="F74" s="217" t="s">
        <v>327</v>
      </c>
      <c r="G74" s="218"/>
      <c r="H74" s="217" t="s">
        <v>185</v>
      </c>
      <c r="I74" s="218"/>
      <c r="J74" s="217" t="s">
        <v>603</v>
      </c>
      <c r="K74" s="218"/>
      <c r="L74" s="221" t="s">
        <v>187</v>
      </c>
      <c r="M74" s="222"/>
      <c r="N74" s="6" t="s">
        <v>301</v>
      </c>
      <c r="O74" s="205" t="s">
        <v>302</v>
      </c>
      <c r="P74" s="206"/>
      <c r="Q74" s="207"/>
      <c r="R74" s="208" t="s">
        <v>303</v>
      </c>
      <c r="S74" s="209"/>
      <c r="T74" s="209"/>
      <c r="U74" s="210"/>
      <c r="W74" s="6" t="s">
        <v>301</v>
      </c>
      <c r="X74" s="196" t="s">
        <v>302</v>
      </c>
      <c r="Y74" s="197"/>
      <c r="Z74" s="198"/>
      <c r="AA74" s="199" t="s">
        <v>303</v>
      </c>
      <c r="AB74" s="200"/>
      <c r="AC74" s="200"/>
      <c r="AD74" s="201"/>
    </row>
    <row r="75" spans="1:30" ht="16.2" customHeight="1">
      <c r="A75" s="216"/>
      <c r="B75" s="106" t="s">
        <v>328</v>
      </c>
      <c r="C75" s="96">
        <v>75</v>
      </c>
      <c r="D75" s="72" t="s">
        <v>329</v>
      </c>
      <c r="E75" s="107">
        <v>30</v>
      </c>
      <c r="F75" s="106" t="s">
        <v>330</v>
      </c>
      <c r="G75" s="108">
        <v>40</v>
      </c>
      <c r="H75" s="19" t="s">
        <v>331</v>
      </c>
      <c r="I75" s="20">
        <v>100</v>
      </c>
      <c r="J75" s="17" t="s">
        <v>332</v>
      </c>
      <c r="K75" s="18">
        <v>15</v>
      </c>
      <c r="L75" s="21" t="s">
        <v>333</v>
      </c>
      <c r="M75" s="18">
        <v>100</v>
      </c>
      <c r="N75" s="22" t="e">
        <f>S76</f>
        <v>#REF!</v>
      </c>
      <c r="O75" s="7" t="s">
        <v>0</v>
      </c>
      <c r="P75" s="8">
        <f>M75/20+K77/70</f>
        <v>5.1428571428571432</v>
      </c>
      <c r="Q75" s="9" t="s">
        <v>262</v>
      </c>
      <c r="R75" s="74" t="s">
        <v>306</v>
      </c>
      <c r="S75" s="75" t="e">
        <f>P81</f>
        <v>#REF!</v>
      </c>
      <c r="T75" s="76" t="s">
        <v>274</v>
      </c>
      <c r="U75" s="77" t="s">
        <v>334</v>
      </c>
      <c r="W75" s="22">
        <f>AB76</f>
        <v>121.76372549019608</v>
      </c>
      <c r="X75" s="7" t="s">
        <v>0</v>
      </c>
      <c r="Y75" s="8">
        <f>M75/20+M76/20+K75/85+K76/90+E76/50</f>
        <v>7.4875816993464053</v>
      </c>
      <c r="Z75" s="9" t="s">
        <v>262</v>
      </c>
      <c r="AA75" s="74" t="s">
        <v>306</v>
      </c>
      <c r="AB75" s="75">
        <f>Y81</f>
        <v>873.69412698412702</v>
      </c>
      <c r="AC75" s="76" t="s">
        <v>274</v>
      </c>
      <c r="AD75" s="77" t="s">
        <v>334</v>
      </c>
    </row>
    <row r="76" spans="1:30" ht="16.2" customHeight="1">
      <c r="A76" s="216"/>
      <c r="B76" s="109" t="s">
        <v>308</v>
      </c>
      <c r="C76" s="110">
        <v>0</v>
      </c>
      <c r="D76" s="79" t="s">
        <v>335</v>
      </c>
      <c r="E76" s="111">
        <v>10</v>
      </c>
      <c r="F76" s="21" t="s">
        <v>265</v>
      </c>
      <c r="G76" s="112">
        <v>8</v>
      </c>
      <c r="H76" s="13"/>
      <c r="I76" s="34"/>
      <c r="J76" s="33" t="s">
        <v>336</v>
      </c>
      <c r="K76" s="35">
        <v>10</v>
      </c>
      <c r="L76" s="21" t="s">
        <v>337</v>
      </c>
      <c r="M76" s="35">
        <v>40</v>
      </c>
      <c r="N76" s="36" t="s">
        <v>338</v>
      </c>
      <c r="O76" s="23" t="s">
        <v>5</v>
      </c>
      <c r="P76" s="24">
        <f>C75*0.68/40+E75/55+E76/35</f>
        <v>2.1061688311688314</v>
      </c>
      <c r="Q76" s="25" t="s">
        <v>262</v>
      </c>
      <c r="R76" s="26" t="s">
        <v>339</v>
      </c>
      <c r="S76" s="27" t="e">
        <f>P75*15+P77*5+P78*15+P79*12</f>
        <v>#REF!</v>
      </c>
      <c r="T76" s="25" t="s">
        <v>264</v>
      </c>
      <c r="U76" s="28" t="e">
        <f>S76*4/S75</f>
        <v>#REF!</v>
      </c>
      <c r="W76" s="36" t="s">
        <v>338</v>
      </c>
      <c r="X76" s="23" t="s">
        <v>5</v>
      </c>
      <c r="Y76" s="24">
        <f>C75/35+E75/40</f>
        <v>2.8928571428571428</v>
      </c>
      <c r="Z76" s="25" t="s">
        <v>262</v>
      </c>
      <c r="AA76" s="26" t="s">
        <v>339</v>
      </c>
      <c r="AB76" s="27">
        <f>Y75*15+Y77*5+Y78*15+Y79*12</f>
        <v>121.76372549019608</v>
      </c>
      <c r="AC76" s="25" t="s">
        <v>264</v>
      </c>
      <c r="AD76" s="28">
        <f>AB76*4/AB75</f>
        <v>0.55746615081645501</v>
      </c>
    </row>
    <row r="77" spans="1:30" ht="16.2" customHeight="1">
      <c r="A77" s="216"/>
      <c r="B77" s="33" t="s">
        <v>341</v>
      </c>
      <c r="C77" s="38">
        <v>1</v>
      </c>
      <c r="D77" s="106" t="s">
        <v>342</v>
      </c>
      <c r="E77" s="111">
        <v>10</v>
      </c>
      <c r="F77" s="106" t="s">
        <v>343</v>
      </c>
      <c r="G77" s="112">
        <v>5</v>
      </c>
      <c r="H77" s="39"/>
      <c r="I77" s="14"/>
      <c r="J77" s="21" t="s">
        <v>270</v>
      </c>
      <c r="K77" s="35">
        <v>10</v>
      </c>
      <c r="L77" s="84"/>
      <c r="M77" s="85"/>
      <c r="N77" s="22">
        <f>S77</f>
        <v>23.030844155844157</v>
      </c>
      <c r="O77" s="37" t="s">
        <v>318</v>
      </c>
      <c r="P77" s="24" t="e">
        <f>(K75+K76+G78+#REF!+G75+G76+G77+I75+G80)/100</f>
        <v>#REF!</v>
      </c>
      <c r="Q77" s="25" t="s">
        <v>262</v>
      </c>
      <c r="R77" s="26" t="s">
        <v>319</v>
      </c>
      <c r="S77" s="27">
        <f>P76*5+P79*4+P80*5</f>
        <v>23.030844155844157</v>
      </c>
      <c r="T77" s="25" t="s">
        <v>264</v>
      </c>
      <c r="U77" s="28" t="e">
        <f>S77*9/S75</f>
        <v>#REF!</v>
      </c>
      <c r="W77" s="22">
        <f>AB77</f>
        <v>26.464285714285715</v>
      </c>
      <c r="X77" s="37" t="s">
        <v>318</v>
      </c>
      <c r="Y77" s="24">
        <f>(E77+E78+G75+G76+G77+G78+I75+K77+K78)/100</f>
        <v>1.89</v>
      </c>
      <c r="Z77" s="25" t="s">
        <v>262</v>
      </c>
      <c r="AA77" s="26" t="s">
        <v>319</v>
      </c>
      <c r="AB77" s="27">
        <f>Y76*5+Y79*4+Y80*5</f>
        <v>26.464285714285715</v>
      </c>
      <c r="AC77" s="25" t="s">
        <v>264</v>
      </c>
      <c r="AD77" s="28">
        <f>AB77*9/AB75</f>
        <v>0.27261093336031844</v>
      </c>
    </row>
    <row r="78" spans="1:30" ht="16.2" customHeight="1">
      <c r="A78" s="216"/>
      <c r="B78" s="33"/>
      <c r="C78" s="38"/>
      <c r="D78" s="21" t="s">
        <v>265</v>
      </c>
      <c r="E78" s="112">
        <v>8</v>
      </c>
      <c r="F78" s="106" t="s">
        <v>344</v>
      </c>
      <c r="G78" s="112">
        <v>3</v>
      </c>
      <c r="H78" s="39"/>
      <c r="I78" s="14"/>
      <c r="J78" s="47" t="s">
        <v>265</v>
      </c>
      <c r="K78" s="48">
        <v>5</v>
      </c>
      <c r="L78" s="84"/>
      <c r="M78" s="85"/>
      <c r="N78" s="36" t="s">
        <v>260</v>
      </c>
      <c r="O78" s="41" t="s">
        <v>261</v>
      </c>
      <c r="P78" s="42">
        <v>0</v>
      </c>
      <c r="Q78" s="25" t="s">
        <v>262</v>
      </c>
      <c r="R78" s="26" t="s">
        <v>263</v>
      </c>
      <c r="S78" s="27" t="e">
        <f>P75*2+P76*7+P77*1+P79*8</f>
        <v>#REF!</v>
      </c>
      <c r="T78" s="25" t="s">
        <v>264</v>
      </c>
      <c r="U78" s="28" t="e">
        <f>S78*4/S75</f>
        <v>#REF!</v>
      </c>
      <c r="W78" s="36" t="s">
        <v>260</v>
      </c>
      <c r="X78" s="49" t="s">
        <v>261</v>
      </c>
      <c r="Y78" s="42">
        <v>0</v>
      </c>
      <c r="Z78" s="25" t="s">
        <v>262</v>
      </c>
      <c r="AA78" s="26" t="s">
        <v>263</v>
      </c>
      <c r="AB78" s="27">
        <f>Y75*2+Y76*7+Y77*1+Y79*8</f>
        <v>37.115163398692815</v>
      </c>
      <c r="AC78" s="25" t="s">
        <v>264</v>
      </c>
      <c r="AD78" s="28">
        <f>AB78*4/AB75</f>
        <v>0.16992291582322658</v>
      </c>
    </row>
    <row r="79" spans="1:30" ht="16.2" customHeight="1">
      <c r="A79" s="227" t="s">
        <v>345</v>
      </c>
      <c r="B79" s="31"/>
      <c r="C79" s="32"/>
      <c r="D79" s="21" t="s">
        <v>346</v>
      </c>
      <c r="E79" s="35">
        <v>1</v>
      </c>
      <c r="H79" s="39"/>
      <c r="I79" s="14"/>
      <c r="J79" s="39"/>
      <c r="K79" s="35"/>
      <c r="L79" s="84"/>
      <c r="M79" s="85"/>
      <c r="N79" s="22" t="e">
        <f>S78</f>
        <v>#REF!</v>
      </c>
      <c r="O79" s="49" t="s">
        <v>9</v>
      </c>
      <c r="P79" s="42">
        <v>0</v>
      </c>
      <c r="Q79" s="25" t="s">
        <v>262</v>
      </c>
      <c r="R79" s="50"/>
      <c r="S79" s="50"/>
      <c r="T79" s="50"/>
      <c r="U79" s="51" t="e">
        <f>SUM(U76:U78)</f>
        <v>#REF!</v>
      </c>
      <c r="W79" s="22">
        <f>AB78</f>
        <v>37.115163398692815</v>
      </c>
      <c r="X79" s="49" t="s">
        <v>9</v>
      </c>
      <c r="Y79" s="42">
        <v>0</v>
      </c>
      <c r="Z79" s="25" t="s">
        <v>262</v>
      </c>
      <c r="AA79" s="50"/>
      <c r="AB79" s="50"/>
      <c r="AC79" s="50"/>
      <c r="AD79" s="51">
        <f>SUM(AD76:AD78)</f>
        <v>1</v>
      </c>
    </row>
    <row r="80" spans="1:30" ht="16.2" customHeight="1">
      <c r="A80" s="227"/>
      <c r="B80" s="31"/>
      <c r="C80" s="32"/>
      <c r="D80" s="21"/>
      <c r="E80" s="35"/>
      <c r="F80" s="47"/>
      <c r="G80" s="48"/>
      <c r="H80" s="39"/>
      <c r="I80" s="14"/>
      <c r="J80" s="21"/>
      <c r="K80" s="35"/>
      <c r="L80" s="84"/>
      <c r="M80" s="85"/>
      <c r="N80" s="36" t="s">
        <v>272</v>
      </c>
      <c r="O80" s="55" t="s">
        <v>269</v>
      </c>
      <c r="P80" s="42">
        <v>2.5</v>
      </c>
      <c r="Q80" s="25" t="s">
        <v>262</v>
      </c>
      <c r="R80" s="56"/>
      <c r="S80" s="56"/>
      <c r="T80" s="56"/>
      <c r="U80" s="57"/>
      <c r="W80" s="36" t="s">
        <v>272</v>
      </c>
      <c r="X80" s="55" t="s">
        <v>269</v>
      </c>
      <c r="Y80" s="42">
        <v>2.4</v>
      </c>
      <c r="Z80" s="25" t="s">
        <v>262</v>
      </c>
      <c r="AA80" s="56"/>
      <c r="AB80" s="56"/>
      <c r="AC80" s="56"/>
      <c r="AD80" s="57"/>
    </row>
    <row r="81" spans="1:30" ht="16.2" customHeight="1" thickBot="1">
      <c r="A81" s="228"/>
      <c r="B81" s="223" t="s">
        <v>591</v>
      </c>
      <c r="C81" s="224"/>
      <c r="D81" s="223" t="s">
        <v>195</v>
      </c>
      <c r="E81" s="224"/>
      <c r="F81" s="223" t="s">
        <v>196</v>
      </c>
      <c r="G81" s="224"/>
      <c r="H81" s="223" t="s">
        <v>197</v>
      </c>
      <c r="I81" s="224"/>
      <c r="J81" s="223" t="s">
        <v>196</v>
      </c>
      <c r="K81" s="224"/>
      <c r="L81" s="223" t="s">
        <v>198</v>
      </c>
      <c r="M81" s="224"/>
      <c r="N81" s="65" t="e">
        <f>P81</f>
        <v>#REF!</v>
      </c>
      <c r="O81" s="59" t="s">
        <v>273</v>
      </c>
      <c r="P81" s="60" t="e">
        <f>P75*68+P76*73+P77*24+P78*60+P79*112+P80*45</f>
        <v>#REF!</v>
      </c>
      <c r="Q81" s="61" t="s">
        <v>274</v>
      </c>
      <c r="R81" s="62"/>
      <c r="S81" s="62"/>
      <c r="T81" s="62"/>
      <c r="U81" s="63"/>
      <c r="W81" s="65">
        <f>Y81</f>
        <v>873.69412698412702</v>
      </c>
      <c r="X81" s="59" t="s">
        <v>273</v>
      </c>
      <c r="Y81" s="60">
        <f>Y75*68+Y76*73+Y77*24+Y78*60+Y79*112+Y80*45</f>
        <v>873.69412698412702</v>
      </c>
      <c r="Z81" s="61" t="s">
        <v>274</v>
      </c>
      <c r="AA81" s="62"/>
      <c r="AB81" s="62"/>
      <c r="AC81" s="62"/>
      <c r="AD81" s="63"/>
    </row>
    <row r="82" spans="1:30" ht="16.2" customHeight="1" thickBot="1">
      <c r="A82" s="215">
        <f>A74+1</f>
        <v>44078</v>
      </c>
      <c r="B82" s="219" t="s">
        <v>189</v>
      </c>
      <c r="C82" s="220"/>
      <c r="D82" s="217" t="s">
        <v>348</v>
      </c>
      <c r="E82" s="218"/>
      <c r="F82" s="248" t="s">
        <v>349</v>
      </c>
      <c r="G82" s="249"/>
      <c r="H82" s="217" t="s">
        <v>278</v>
      </c>
      <c r="I82" s="218"/>
      <c r="J82" s="219" t="s">
        <v>350</v>
      </c>
      <c r="K82" s="220"/>
      <c r="L82" s="221" t="s">
        <v>193</v>
      </c>
      <c r="M82" s="222"/>
      <c r="N82" s="6" t="s">
        <v>234</v>
      </c>
      <c r="O82" s="205" t="s">
        <v>235</v>
      </c>
      <c r="P82" s="206"/>
      <c r="Q82" s="207"/>
      <c r="R82" s="208" t="s">
        <v>236</v>
      </c>
      <c r="S82" s="209"/>
      <c r="T82" s="209"/>
      <c r="U82" s="210"/>
      <c r="W82" s="6" t="s">
        <v>234</v>
      </c>
      <c r="X82" s="196" t="s">
        <v>302</v>
      </c>
      <c r="Y82" s="197"/>
      <c r="Z82" s="198"/>
      <c r="AA82" s="199" t="s">
        <v>303</v>
      </c>
      <c r="AB82" s="200"/>
      <c r="AC82" s="200"/>
      <c r="AD82" s="201"/>
    </row>
    <row r="83" spans="1:30" ht="16.2" customHeight="1">
      <c r="A83" s="216"/>
      <c r="B83" s="13" t="s">
        <v>351</v>
      </c>
      <c r="C83" s="35">
        <v>120</v>
      </c>
      <c r="D83" s="19" t="s">
        <v>257</v>
      </c>
      <c r="E83" s="30">
        <v>20</v>
      </c>
      <c r="F83" s="113" t="s">
        <v>352</v>
      </c>
      <c r="G83" s="114">
        <v>8</v>
      </c>
      <c r="H83" s="19" t="s">
        <v>353</v>
      </c>
      <c r="I83" s="20">
        <v>120</v>
      </c>
      <c r="J83" s="90" t="s">
        <v>354</v>
      </c>
      <c r="K83" s="70">
        <v>20</v>
      </c>
      <c r="L83" s="115" t="s">
        <v>4</v>
      </c>
      <c r="M83" s="18">
        <v>140</v>
      </c>
      <c r="N83" s="22" t="e">
        <f>S84</f>
        <v>#REF!</v>
      </c>
      <c r="O83" s="7" t="s">
        <v>0</v>
      </c>
      <c r="P83" s="42">
        <f>G88/55+M83/20+M84/20</f>
        <v>7</v>
      </c>
      <c r="Q83" s="9" t="s">
        <v>242</v>
      </c>
      <c r="R83" s="74" t="s">
        <v>287</v>
      </c>
      <c r="S83" s="75" t="e">
        <f>P89</f>
        <v>#REF!</v>
      </c>
      <c r="T83" s="76" t="s">
        <v>232</v>
      </c>
      <c r="U83" s="93"/>
      <c r="W83" s="22">
        <f>AB84</f>
        <v>122.83333333333334</v>
      </c>
      <c r="X83" s="7" t="s">
        <v>0</v>
      </c>
      <c r="Y83" s="8">
        <f>M83/20+G83/20+E83/90</f>
        <v>7.6222222222222227</v>
      </c>
      <c r="Z83" s="9" t="s">
        <v>262</v>
      </c>
      <c r="AA83" s="74" t="s">
        <v>306</v>
      </c>
      <c r="AB83" s="75">
        <f>Y89</f>
        <v>864.73253968253971</v>
      </c>
      <c r="AC83" s="76" t="s">
        <v>274</v>
      </c>
      <c r="AD83" s="77" t="s">
        <v>334</v>
      </c>
    </row>
    <row r="84" spans="1:30" ht="16.2" customHeight="1">
      <c r="A84" s="216"/>
      <c r="B84" s="81" t="s">
        <v>308</v>
      </c>
      <c r="C84" s="116">
        <v>0.4</v>
      </c>
      <c r="D84" s="13" t="s">
        <v>355</v>
      </c>
      <c r="E84" s="35">
        <v>15</v>
      </c>
      <c r="F84" s="13" t="s">
        <v>355</v>
      </c>
      <c r="G84" s="14">
        <v>8</v>
      </c>
      <c r="H84" s="13"/>
      <c r="I84" s="34"/>
      <c r="J84" s="89" t="s">
        <v>270</v>
      </c>
      <c r="K84" s="32">
        <v>10</v>
      </c>
      <c r="L84" s="21"/>
      <c r="M84" s="35"/>
      <c r="N84" s="36" t="s">
        <v>338</v>
      </c>
      <c r="O84" s="23" t="s">
        <v>5</v>
      </c>
      <c r="P84" s="24" t="e">
        <f>C83*0.58/40+E85/55+#REF!*0.52/35+#REF!/80</f>
        <v>#REF!</v>
      </c>
      <c r="Q84" s="25" t="s">
        <v>262</v>
      </c>
      <c r="R84" s="26" t="s">
        <v>339</v>
      </c>
      <c r="S84" s="27" t="e">
        <f>P83*15+P85*5+P86*15+P87*12</f>
        <v>#REF!</v>
      </c>
      <c r="T84" s="25" t="s">
        <v>264</v>
      </c>
      <c r="U84" s="28" t="e">
        <f>S84*4/S83</f>
        <v>#REF!</v>
      </c>
      <c r="W84" s="36" t="s">
        <v>338</v>
      </c>
      <c r="X84" s="23" t="s">
        <v>5</v>
      </c>
      <c r="Y84" s="24">
        <f>C83*0.6/40+E84/35+G84/35+K83/80</f>
        <v>2.7071428571428573</v>
      </c>
      <c r="Z84" s="25" t="s">
        <v>262</v>
      </c>
      <c r="AA84" s="26" t="s">
        <v>339</v>
      </c>
      <c r="AB84" s="27">
        <f>Y83*15+Y85*5+Y86*15+Y87*12</f>
        <v>122.83333333333334</v>
      </c>
      <c r="AC84" s="25" t="s">
        <v>264</v>
      </c>
      <c r="AD84" s="28">
        <f>AB84*4/AB83</f>
        <v>0.56819110046872001</v>
      </c>
    </row>
    <row r="85" spans="1:30" ht="16.2" customHeight="1">
      <c r="A85" s="216"/>
      <c r="B85" s="33" t="s">
        <v>356</v>
      </c>
      <c r="C85" s="35">
        <v>10</v>
      </c>
      <c r="D85" s="94" t="s">
        <v>344</v>
      </c>
      <c r="E85" s="52">
        <v>5</v>
      </c>
      <c r="F85" s="13" t="s">
        <v>357</v>
      </c>
      <c r="G85" s="35">
        <v>10</v>
      </c>
      <c r="H85" s="39"/>
      <c r="I85" s="14"/>
      <c r="J85" s="87" t="s">
        <v>358</v>
      </c>
      <c r="K85" s="14">
        <v>1</v>
      </c>
      <c r="L85" s="39"/>
      <c r="M85" s="35"/>
      <c r="N85" s="22" t="e">
        <f>S85</f>
        <v>#REF!</v>
      </c>
      <c r="O85" s="37" t="s">
        <v>318</v>
      </c>
      <c r="P85" s="24" t="e">
        <f>(E83+E84+E85+E86+#REF!+#REF!+I83+#REF!+#REF!)/100</f>
        <v>#REF!</v>
      </c>
      <c r="Q85" s="25" t="s">
        <v>262</v>
      </c>
      <c r="R85" s="26" t="s">
        <v>319</v>
      </c>
      <c r="S85" s="27" t="e">
        <f>P84*5+P87*4+P88*5</f>
        <v>#REF!</v>
      </c>
      <c r="T85" s="25" t="s">
        <v>264</v>
      </c>
      <c r="U85" s="28" t="e">
        <f>S85*9/S83</f>
        <v>#REF!</v>
      </c>
      <c r="W85" s="22">
        <f>AB85</f>
        <v>25.535714285714285</v>
      </c>
      <c r="X85" s="37" t="s">
        <v>318</v>
      </c>
      <c r="Y85" s="24">
        <f>(C86+C87+E85+E86+G85+G86+I83+K84)/100</f>
        <v>1.7</v>
      </c>
      <c r="Z85" s="25" t="s">
        <v>262</v>
      </c>
      <c r="AA85" s="26" t="s">
        <v>319</v>
      </c>
      <c r="AB85" s="27">
        <f>Y84*5+Y87*4+Y88*5</f>
        <v>25.535714285714285</v>
      </c>
      <c r="AC85" s="25" t="s">
        <v>264</v>
      </c>
      <c r="AD85" s="28">
        <f>AB85*9/AB83</f>
        <v>0.2657716901179647</v>
      </c>
    </row>
    <row r="86" spans="1:30" ht="16.2" customHeight="1">
      <c r="A86" s="216"/>
      <c r="B86" s="13" t="s">
        <v>265</v>
      </c>
      <c r="C86" s="14">
        <v>5</v>
      </c>
      <c r="D86" s="79" t="s">
        <v>22</v>
      </c>
      <c r="E86" s="35">
        <v>5</v>
      </c>
      <c r="F86" s="21" t="s">
        <v>265</v>
      </c>
      <c r="G86" s="35">
        <v>5</v>
      </c>
      <c r="H86" s="39"/>
      <c r="I86" s="14"/>
      <c r="J86" s="89" t="s">
        <v>359</v>
      </c>
      <c r="K86" s="32">
        <v>1</v>
      </c>
      <c r="L86" s="21"/>
      <c r="M86" s="64"/>
      <c r="N86" s="36" t="s">
        <v>260</v>
      </c>
      <c r="O86" s="41" t="s">
        <v>261</v>
      </c>
      <c r="P86" s="42">
        <v>0</v>
      </c>
      <c r="Q86" s="25" t="s">
        <v>262</v>
      </c>
      <c r="R86" s="26" t="s">
        <v>263</v>
      </c>
      <c r="S86" s="27" t="e">
        <f>P83*2+P84*7+P85*1+P87*8</f>
        <v>#REF!</v>
      </c>
      <c r="T86" s="25" t="s">
        <v>264</v>
      </c>
      <c r="U86" s="28" t="e">
        <f>S86*4/S83</f>
        <v>#REF!</v>
      </c>
      <c r="W86" s="36" t="s">
        <v>260</v>
      </c>
      <c r="X86" s="49" t="s">
        <v>261</v>
      </c>
      <c r="Y86" s="42">
        <v>0</v>
      </c>
      <c r="Z86" s="25" t="s">
        <v>262</v>
      </c>
      <c r="AA86" s="26" t="s">
        <v>263</v>
      </c>
      <c r="AB86" s="27">
        <f>Y83*2+Y84*7+Y85*1+Y87*8</f>
        <v>35.894444444444453</v>
      </c>
      <c r="AC86" s="25" t="s">
        <v>264</v>
      </c>
      <c r="AD86" s="28">
        <f>AB86*4/AB83</f>
        <v>0.16603720941331529</v>
      </c>
    </row>
    <row r="87" spans="1:30" ht="16.2" customHeight="1">
      <c r="A87" s="227" t="s">
        <v>360</v>
      </c>
      <c r="B87" s="13" t="s">
        <v>270</v>
      </c>
      <c r="C87" s="96">
        <v>10</v>
      </c>
      <c r="D87" s="13" t="s">
        <v>361</v>
      </c>
      <c r="E87" s="14">
        <v>1</v>
      </c>
      <c r="F87" s="33" t="s">
        <v>325</v>
      </c>
      <c r="G87" s="35">
        <v>1</v>
      </c>
      <c r="H87" s="39"/>
      <c r="I87" s="14"/>
      <c r="J87" s="103"/>
      <c r="K87" s="117"/>
      <c r="L87" s="21"/>
      <c r="M87" s="64"/>
      <c r="N87" s="22" t="e">
        <f>S86</f>
        <v>#REF!</v>
      </c>
      <c r="O87" s="49" t="s">
        <v>9</v>
      </c>
      <c r="P87" s="42">
        <v>0</v>
      </c>
      <c r="Q87" s="25" t="s">
        <v>262</v>
      </c>
      <c r="R87" s="50"/>
      <c r="S87" s="50"/>
      <c r="T87" s="50"/>
      <c r="U87" s="51" t="e">
        <f>SUM(U84:U86)</f>
        <v>#REF!</v>
      </c>
      <c r="W87" s="22">
        <f>AB86</f>
        <v>35.894444444444453</v>
      </c>
      <c r="X87" s="49" t="s">
        <v>9</v>
      </c>
      <c r="Y87" s="42">
        <v>0</v>
      </c>
      <c r="Z87" s="25" t="s">
        <v>262</v>
      </c>
      <c r="AA87" s="50"/>
      <c r="AB87" s="50"/>
      <c r="AC87" s="50"/>
      <c r="AD87" s="51">
        <f>SUM(AD84:AD86)</f>
        <v>1</v>
      </c>
    </row>
    <row r="88" spans="1:30" ht="16.2" customHeight="1">
      <c r="A88" s="227"/>
      <c r="B88" s="39"/>
      <c r="C88" s="14"/>
      <c r="D88" s="13"/>
      <c r="E88" s="14"/>
      <c r="F88" s="47"/>
      <c r="G88" s="48"/>
      <c r="H88" s="39"/>
      <c r="I88" s="14"/>
      <c r="J88" s="118"/>
      <c r="K88" s="117"/>
      <c r="L88" s="21"/>
      <c r="M88" s="64"/>
      <c r="N88" s="36" t="s">
        <v>272</v>
      </c>
      <c r="O88" s="55" t="s">
        <v>269</v>
      </c>
      <c r="P88" s="42">
        <v>2.5</v>
      </c>
      <c r="Q88" s="25" t="s">
        <v>262</v>
      </c>
      <c r="R88" s="56"/>
      <c r="S88" s="56"/>
      <c r="T88" s="56"/>
      <c r="U88" s="57"/>
      <c r="W88" s="36" t="s">
        <v>272</v>
      </c>
      <c r="X88" s="55" t="s">
        <v>269</v>
      </c>
      <c r="Y88" s="42">
        <v>2.4</v>
      </c>
      <c r="Z88" s="25" t="s">
        <v>262</v>
      </c>
      <c r="AA88" s="56"/>
      <c r="AB88" s="56"/>
      <c r="AC88" s="56"/>
      <c r="AD88" s="57"/>
    </row>
    <row r="89" spans="1:30" ht="16.649999999999999" thickBot="1">
      <c r="A89" s="228"/>
      <c r="B89" s="223" t="s">
        <v>215</v>
      </c>
      <c r="C89" s="224"/>
      <c r="D89" s="223" t="s">
        <v>195</v>
      </c>
      <c r="E89" s="224"/>
      <c r="F89" s="223" t="s">
        <v>195</v>
      </c>
      <c r="G89" s="224"/>
      <c r="H89" s="223" t="s">
        <v>197</v>
      </c>
      <c r="I89" s="224"/>
      <c r="J89" s="223" t="s">
        <v>196</v>
      </c>
      <c r="K89" s="224"/>
      <c r="L89" s="223" t="s">
        <v>198</v>
      </c>
      <c r="M89" s="224"/>
      <c r="N89" s="65" t="e">
        <f>P89</f>
        <v>#REF!</v>
      </c>
      <c r="O89" s="59" t="s">
        <v>273</v>
      </c>
      <c r="P89" s="60" t="e">
        <f>P83*68+P84*73+P85*24+P86*60+P87*112+P88*45</f>
        <v>#REF!</v>
      </c>
      <c r="Q89" s="61" t="s">
        <v>274</v>
      </c>
      <c r="R89" s="62"/>
      <c r="S89" s="62"/>
      <c r="T89" s="62"/>
      <c r="U89" s="63"/>
      <c r="W89" s="65">
        <f>Y89</f>
        <v>864.73253968253971</v>
      </c>
      <c r="X89" s="59" t="s">
        <v>273</v>
      </c>
      <c r="Y89" s="60">
        <f>Y83*68+Y84*73+Y85*24+Y86*60+Y87*112+Y88*45</f>
        <v>864.73253968253971</v>
      </c>
      <c r="Z89" s="61" t="s">
        <v>274</v>
      </c>
      <c r="AA89" s="62"/>
      <c r="AB89" s="62"/>
      <c r="AC89" s="62"/>
      <c r="AD89" s="63"/>
    </row>
    <row r="90" spans="1:30" ht="16.2" customHeight="1">
      <c r="A90" s="229" t="s">
        <v>362</v>
      </c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</row>
    <row r="91" spans="1:30" ht="16.5" customHeight="1">
      <c r="A91" s="230" t="s">
        <v>363</v>
      </c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</row>
    <row r="92" spans="1:30" ht="16.2" customHeight="1">
      <c r="A92" s="231" t="s">
        <v>364</v>
      </c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</row>
    <row r="93" spans="1:30" ht="16.5" customHeight="1">
      <c r="A93" s="232" t="s">
        <v>365</v>
      </c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</row>
    <row r="94" spans="1:30" ht="16.649999999999999" thickBot="1">
      <c r="A94" s="233" t="s">
        <v>366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</row>
    <row r="95" spans="1:30" ht="21.75" customHeight="1" thickBot="1">
      <c r="A95" s="211" t="s">
        <v>585</v>
      </c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X95" s="212"/>
      <c r="Y95" s="213"/>
      <c r="Z95" s="213"/>
      <c r="AA95" s="213"/>
      <c r="AB95" s="213"/>
      <c r="AC95" s="213"/>
      <c r="AD95" s="214"/>
    </row>
    <row r="96" spans="1:30" ht="32.299999999999997" customHeight="1" thickBot="1">
      <c r="A96" s="119" t="s">
        <v>367</v>
      </c>
      <c r="B96" s="5" t="s">
        <v>368</v>
      </c>
      <c r="C96" s="4" t="s">
        <v>369</v>
      </c>
      <c r="D96" s="5" t="s">
        <v>370</v>
      </c>
      <c r="E96" s="4" t="s">
        <v>369</v>
      </c>
      <c r="F96" s="5" t="s">
        <v>370</v>
      </c>
      <c r="G96" s="4" t="s">
        <v>369</v>
      </c>
      <c r="H96" s="5" t="s">
        <v>371</v>
      </c>
      <c r="I96" s="4" t="s">
        <v>369</v>
      </c>
      <c r="J96" s="5" t="s">
        <v>372</v>
      </c>
      <c r="K96" s="4" t="s">
        <v>369</v>
      </c>
      <c r="L96" s="5" t="s">
        <v>373</v>
      </c>
      <c r="M96" s="4" t="s">
        <v>369</v>
      </c>
      <c r="N96" s="4" t="s">
        <v>374</v>
      </c>
      <c r="O96" s="212" t="s">
        <v>375</v>
      </c>
      <c r="P96" s="213"/>
      <c r="Q96" s="213"/>
      <c r="R96" s="213"/>
      <c r="S96" s="213"/>
      <c r="T96" s="213"/>
      <c r="U96" s="214"/>
      <c r="W96" s="4" t="s">
        <v>374</v>
      </c>
      <c r="X96" s="212" t="s">
        <v>225</v>
      </c>
      <c r="Y96" s="213"/>
      <c r="Z96" s="213"/>
      <c r="AA96" s="213"/>
      <c r="AB96" s="213"/>
      <c r="AC96" s="213"/>
      <c r="AD96" s="214"/>
    </row>
    <row r="97" spans="1:30" ht="16.2" customHeight="1" thickBot="1">
      <c r="A97" s="215">
        <f>A82+3</f>
        <v>44081</v>
      </c>
      <c r="B97" s="217" t="s">
        <v>637</v>
      </c>
      <c r="C97" s="218"/>
      <c r="D97" s="219" t="s">
        <v>376</v>
      </c>
      <c r="E97" s="220"/>
      <c r="F97" s="217" t="s">
        <v>377</v>
      </c>
      <c r="G97" s="218"/>
      <c r="H97" s="217" t="s">
        <v>185</v>
      </c>
      <c r="I97" s="226"/>
      <c r="J97" s="219" t="s">
        <v>378</v>
      </c>
      <c r="K97" s="220"/>
      <c r="L97" s="221" t="s">
        <v>650</v>
      </c>
      <c r="M97" s="222"/>
      <c r="N97" s="6" t="s">
        <v>234</v>
      </c>
      <c r="O97" s="7" t="s">
        <v>0</v>
      </c>
      <c r="P97" s="8">
        <f>C100/45+G100/65+M98/20+M99/20</f>
        <v>7.626495726495726</v>
      </c>
      <c r="Q97" s="9" t="s">
        <v>242</v>
      </c>
      <c r="R97" s="10" t="s">
        <v>287</v>
      </c>
      <c r="S97" s="11">
        <f>P103</f>
        <v>867.38742368742362</v>
      </c>
      <c r="T97" s="9" t="s">
        <v>274</v>
      </c>
      <c r="U97" s="12" t="s">
        <v>334</v>
      </c>
      <c r="W97" s="6" t="s">
        <v>301</v>
      </c>
      <c r="X97" s="196" t="s">
        <v>302</v>
      </c>
      <c r="Y97" s="197"/>
      <c r="Z97" s="198"/>
      <c r="AA97" s="199" t="s">
        <v>303</v>
      </c>
      <c r="AB97" s="200"/>
      <c r="AC97" s="200"/>
      <c r="AD97" s="201"/>
    </row>
    <row r="98" spans="1:30" ht="16.2" customHeight="1">
      <c r="A98" s="227"/>
      <c r="B98" s="33" t="s">
        <v>383</v>
      </c>
      <c r="C98" s="38">
        <v>60</v>
      </c>
      <c r="D98" s="120" t="s">
        <v>379</v>
      </c>
      <c r="E98" s="121">
        <v>50</v>
      </c>
      <c r="F98" s="17" t="s">
        <v>380</v>
      </c>
      <c r="G98" s="18">
        <v>50</v>
      </c>
      <c r="H98" s="106" t="s">
        <v>381</v>
      </c>
      <c r="I98" s="20">
        <v>100</v>
      </c>
      <c r="J98" s="126" t="s">
        <v>382</v>
      </c>
      <c r="K98" s="16">
        <v>4</v>
      </c>
      <c r="L98" s="115" t="s">
        <v>4</v>
      </c>
      <c r="M98" s="18">
        <v>130</v>
      </c>
      <c r="N98" s="22">
        <f>S98</f>
        <v>123.64743589743588</v>
      </c>
      <c r="O98" s="23" t="s">
        <v>5</v>
      </c>
      <c r="P98" s="24">
        <f>C98/55+E98/55+E99/35+K123/25</f>
        <v>2.6285714285714286</v>
      </c>
      <c r="Q98" s="25" t="s">
        <v>262</v>
      </c>
      <c r="R98" s="26" t="s">
        <v>339</v>
      </c>
      <c r="S98" s="27">
        <f>P97*15+P99*5+P100*15+P101*12</f>
        <v>123.64743589743588</v>
      </c>
      <c r="T98" s="25" t="s">
        <v>264</v>
      </c>
      <c r="U98" s="28">
        <f>S98*4/S97</f>
        <v>0.57020626548532549</v>
      </c>
      <c r="W98" s="22">
        <f>AB99</f>
        <v>121.8</v>
      </c>
      <c r="X98" s="29" t="s">
        <v>0</v>
      </c>
      <c r="Y98" s="8">
        <f>M98/20+M99/20</f>
        <v>7.5</v>
      </c>
      <c r="Z98" s="9" t="s">
        <v>262</v>
      </c>
      <c r="AA98" s="10" t="s">
        <v>306</v>
      </c>
      <c r="AB98" s="11">
        <f>Y104</f>
        <v>874.05558441558435</v>
      </c>
      <c r="AC98" s="9" t="s">
        <v>274</v>
      </c>
      <c r="AD98" s="12" t="s">
        <v>334</v>
      </c>
    </row>
    <row r="99" spans="1:30" ht="16.2" customHeight="1">
      <c r="A99" s="227"/>
      <c r="B99" s="47" t="s">
        <v>270</v>
      </c>
      <c r="C99" s="48">
        <v>10</v>
      </c>
      <c r="D99" s="47" t="s">
        <v>343</v>
      </c>
      <c r="E99" s="48">
        <v>8</v>
      </c>
      <c r="F99" s="13" t="s">
        <v>340</v>
      </c>
      <c r="G99" s="14">
        <v>5</v>
      </c>
      <c r="H99" s="13"/>
      <c r="I99" s="34"/>
      <c r="J99" s="127" t="s">
        <v>347</v>
      </c>
      <c r="K99" s="38">
        <v>10</v>
      </c>
      <c r="L99" s="21" t="s">
        <v>651</v>
      </c>
      <c r="M99" s="35">
        <v>20</v>
      </c>
      <c r="N99" s="36" t="s">
        <v>338</v>
      </c>
      <c r="O99" s="37" t="s">
        <v>318</v>
      </c>
      <c r="P99" s="24">
        <f>(C99+G98+G99+I98+K122)/100</f>
        <v>1.85</v>
      </c>
      <c r="Q99" s="25" t="s">
        <v>262</v>
      </c>
      <c r="R99" s="26" t="s">
        <v>319</v>
      </c>
      <c r="S99" s="27">
        <f>P98*5+P101*4+P102*5</f>
        <v>25.642857142857142</v>
      </c>
      <c r="T99" s="25" t="s">
        <v>264</v>
      </c>
      <c r="U99" s="28">
        <f>S99*9/S97</f>
        <v>0.26606993366885784</v>
      </c>
      <c r="W99" s="36" t="s">
        <v>338</v>
      </c>
      <c r="X99" s="23" t="s">
        <v>5</v>
      </c>
      <c r="Y99" s="24">
        <f>C98/35+G98/50+K99/55</f>
        <v>2.8961038961038961</v>
      </c>
      <c r="Z99" s="25" t="s">
        <v>262</v>
      </c>
      <c r="AA99" s="26" t="s">
        <v>339</v>
      </c>
      <c r="AB99" s="27">
        <f>Y98*15+Y100*5+Y101*15+Y102*12</f>
        <v>121.8</v>
      </c>
      <c r="AC99" s="25" t="s">
        <v>264</v>
      </c>
      <c r="AD99" s="28">
        <f>AB99*4/AB98</f>
        <v>0.55740162146066974</v>
      </c>
    </row>
    <row r="100" spans="1:30" ht="16.2" customHeight="1">
      <c r="A100" s="227"/>
      <c r="B100" s="33" t="s">
        <v>265</v>
      </c>
      <c r="C100" s="38">
        <v>5</v>
      </c>
      <c r="D100" s="33" t="s">
        <v>265</v>
      </c>
      <c r="E100" s="38">
        <v>4</v>
      </c>
      <c r="F100" s="13" t="s">
        <v>346</v>
      </c>
      <c r="G100" s="14">
        <v>1</v>
      </c>
      <c r="H100" s="39"/>
      <c r="I100" s="14"/>
      <c r="J100" s="33" t="s">
        <v>385</v>
      </c>
      <c r="K100" s="38">
        <v>1</v>
      </c>
      <c r="L100" s="13"/>
      <c r="M100" s="88"/>
      <c r="N100" s="22">
        <f>S99</f>
        <v>25.642857142857142</v>
      </c>
      <c r="O100" s="41" t="s">
        <v>261</v>
      </c>
      <c r="P100" s="42">
        <v>0</v>
      </c>
      <c r="Q100" s="25" t="s">
        <v>262</v>
      </c>
      <c r="R100" s="26" t="s">
        <v>263</v>
      </c>
      <c r="S100" s="27">
        <f>P97*2+P98*7+P99*1+P101*8</f>
        <v>35.502991452991452</v>
      </c>
      <c r="T100" s="25" t="s">
        <v>264</v>
      </c>
      <c r="U100" s="28">
        <f>S100*4/S97</f>
        <v>0.16372380084581672</v>
      </c>
      <c r="W100" s="22">
        <f>AB100</f>
        <v>26.480519480519479</v>
      </c>
      <c r="X100" s="37" t="s">
        <v>318</v>
      </c>
      <c r="Y100" s="24">
        <f>(C99+C100+E98+E99+E100+G99+I98+K98)/100</f>
        <v>1.86</v>
      </c>
      <c r="Z100" s="25" t="s">
        <v>262</v>
      </c>
      <c r="AA100" s="26" t="s">
        <v>319</v>
      </c>
      <c r="AB100" s="27">
        <f>Y99*5+Y102*4+Y103*5</f>
        <v>26.480519480519479</v>
      </c>
      <c r="AC100" s="25" t="s">
        <v>264</v>
      </c>
      <c r="AD100" s="28">
        <f>AB100*9/AB98</f>
        <v>0.27266535398206421</v>
      </c>
    </row>
    <row r="101" spans="1:30" ht="16.2" customHeight="1">
      <c r="A101" s="227"/>
      <c r="B101" s="33" t="s">
        <v>359</v>
      </c>
      <c r="C101" s="38">
        <v>1</v>
      </c>
      <c r="D101" s="33"/>
      <c r="E101" s="38"/>
      <c r="F101" s="39"/>
      <c r="G101" s="14"/>
      <c r="H101" s="39"/>
      <c r="I101" s="14"/>
      <c r="J101" s="127"/>
      <c r="K101" s="38"/>
      <c r="L101" s="33"/>
      <c r="M101" s="64"/>
      <c r="N101" s="36" t="s">
        <v>260</v>
      </c>
      <c r="O101" s="49" t="s">
        <v>9</v>
      </c>
      <c r="P101" s="42">
        <v>0</v>
      </c>
      <c r="Q101" s="25" t="s">
        <v>262</v>
      </c>
      <c r="R101" s="50"/>
      <c r="S101" s="50"/>
      <c r="T101" s="50"/>
      <c r="U101" s="51">
        <f>SUM(U98:U100)</f>
        <v>1</v>
      </c>
      <c r="W101" s="36" t="s">
        <v>260</v>
      </c>
      <c r="X101" s="49" t="s">
        <v>261</v>
      </c>
      <c r="Y101" s="42">
        <v>0</v>
      </c>
      <c r="Z101" s="25" t="s">
        <v>262</v>
      </c>
      <c r="AA101" s="26" t="s">
        <v>263</v>
      </c>
      <c r="AB101" s="27">
        <f>Y98*2+Y99*7+Y100*1+Y102*8</f>
        <v>37.132727272727273</v>
      </c>
      <c r="AC101" s="25" t="s">
        <v>264</v>
      </c>
      <c r="AD101" s="28">
        <f>AB101*4/AB98</f>
        <v>0.16993302455726614</v>
      </c>
    </row>
    <row r="102" spans="1:30" ht="16.2" customHeight="1">
      <c r="A102" s="227" t="s">
        <v>267</v>
      </c>
      <c r="B102" s="124"/>
      <c r="C102" s="125"/>
      <c r="D102" s="33"/>
      <c r="E102" s="38"/>
      <c r="F102" s="47"/>
      <c r="G102" s="48"/>
      <c r="H102" s="39"/>
      <c r="I102" s="14"/>
      <c r="J102" s="129"/>
      <c r="K102" s="88"/>
      <c r="L102" s="33"/>
      <c r="M102" s="64"/>
      <c r="N102" s="22">
        <f>S100</f>
        <v>35.502991452991452</v>
      </c>
      <c r="O102" s="55" t="s">
        <v>269</v>
      </c>
      <c r="P102" s="42">
        <v>2.5</v>
      </c>
      <c r="Q102" s="25" t="s">
        <v>262</v>
      </c>
      <c r="R102" s="56"/>
      <c r="S102" s="56"/>
      <c r="T102" s="56"/>
      <c r="U102" s="57"/>
      <c r="W102" s="22">
        <f>AB101</f>
        <v>37.132727272727273</v>
      </c>
      <c r="X102" s="49" t="s">
        <v>9</v>
      </c>
      <c r="Y102" s="42">
        <v>0</v>
      </c>
      <c r="Z102" s="25" t="s">
        <v>262</v>
      </c>
      <c r="AA102" s="50"/>
      <c r="AB102" s="50"/>
      <c r="AC102" s="50"/>
      <c r="AD102" s="51">
        <f>SUM(AD99:AD101)</f>
        <v>1</v>
      </c>
    </row>
    <row r="103" spans="1:30" ht="16.2" customHeight="1" thickBot="1">
      <c r="A103" s="227"/>
      <c r="B103" s="124"/>
      <c r="C103" s="125"/>
      <c r="D103" s="47"/>
      <c r="E103" s="48"/>
      <c r="F103" s="47"/>
      <c r="G103" s="48"/>
      <c r="H103" s="39"/>
      <c r="I103" s="14"/>
      <c r="J103" s="118"/>
      <c r="K103" s="117"/>
      <c r="L103" s="33"/>
      <c r="M103" s="64"/>
      <c r="N103" s="36" t="s">
        <v>272</v>
      </c>
      <c r="O103" s="59" t="s">
        <v>273</v>
      </c>
      <c r="P103" s="60">
        <f>P97*68+P98*73+P99*24+P100*60+P101*112+P102*45</f>
        <v>867.38742368742362</v>
      </c>
      <c r="Q103" s="61" t="s">
        <v>274</v>
      </c>
      <c r="R103" s="62"/>
      <c r="S103" s="62"/>
      <c r="T103" s="62"/>
      <c r="U103" s="63"/>
      <c r="W103" s="36" t="s">
        <v>272</v>
      </c>
      <c r="X103" s="55" t="s">
        <v>269</v>
      </c>
      <c r="Y103" s="42">
        <v>2.4</v>
      </c>
      <c r="Z103" s="25" t="s">
        <v>262</v>
      </c>
      <c r="AA103" s="56"/>
      <c r="AB103" s="56"/>
      <c r="AC103" s="56"/>
      <c r="AD103" s="57"/>
    </row>
    <row r="104" spans="1:30" ht="16.2" customHeight="1" thickBot="1">
      <c r="A104" s="228"/>
      <c r="B104" s="234" t="s">
        <v>195</v>
      </c>
      <c r="C104" s="235"/>
      <c r="D104" s="236" t="s">
        <v>196</v>
      </c>
      <c r="E104" s="237"/>
      <c r="F104" s="223" t="s">
        <v>195</v>
      </c>
      <c r="G104" s="224"/>
      <c r="H104" s="223" t="s">
        <v>197</v>
      </c>
      <c r="I104" s="224"/>
      <c r="J104" s="234" t="s">
        <v>196</v>
      </c>
      <c r="K104" s="235"/>
      <c r="L104" s="223" t="s">
        <v>198</v>
      </c>
      <c r="M104" s="224"/>
      <c r="N104" s="65">
        <f>P103</f>
        <v>867.38742368742362</v>
      </c>
      <c r="O104" s="66"/>
      <c r="P104" s="67"/>
      <c r="Q104" s="67"/>
      <c r="R104" s="67"/>
      <c r="S104" s="67"/>
      <c r="T104" s="67"/>
      <c r="U104" s="68"/>
      <c r="W104" s="65">
        <f>Y104</f>
        <v>874.05558441558435</v>
      </c>
      <c r="X104" s="59" t="s">
        <v>273</v>
      </c>
      <c r="Y104" s="60">
        <f>Y98*68+Y99*73+Y100*24+Y101*60+Y102*112+Y103*45</f>
        <v>874.05558441558435</v>
      </c>
      <c r="Z104" s="61" t="s">
        <v>274</v>
      </c>
      <c r="AA104" s="62"/>
      <c r="AB104" s="62"/>
      <c r="AC104" s="62"/>
      <c r="AD104" s="63"/>
    </row>
    <row r="105" spans="1:30" ht="16.2" customHeight="1" thickBot="1">
      <c r="A105" s="215">
        <f>A97+1</f>
        <v>44082</v>
      </c>
      <c r="B105" s="219" t="s">
        <v>387</v>
      </c>
      <c r="C105" s="220"/>
      <c r="D105" s="219" t="s">
        <v>388</v>
      </c>
      <c r="E105" s="220"/>
      <c r="F105" s="219" t="s">
        <v>389</v>
      </c>
      <c r="G105" s="220"/>
      <c r="H105" s="217" t="s">
        <v>278</v>
      </c>
      <c r="I105" s="226"/>
      <c r="J105" s="219" t="s">
        <v>604</v>
      </c>
      <c r="K105" s="220"/>
      <c r="L105" s="221" t="s">
        <v>280</v>
      </c>
      <c r="M105" s="222"/>
      <c r="N105" s="6" t="s">
        <v>234</v>
      </c>
      <c r="O105" s="205" t="s">
        <v>235</v>
      </c>
      <c r="P105" s="206"/>
      <c r="Q105" s="207"/>
      <c r="R105" s="208" t="s">
        <v>236</v>
      </c>
      <c r="S105" s="209"/>
      <c r="T105" s="209"/>
      <c r="U105" s="210"/>
      <c r="W105" s="6" t="s">
        <v>234</v>
      </c>
      <c r="X105" s="196" t="s">
        <v>302</v>
      </c>
      <c r="Y105" s="197"/>
      <c r="Z105" s="198"/>
      <c r="AA105" s="199" t="s">
        <v>303</v>
      </c>
      <c r="AB105" s="200"/>
      <c r="AC105" s="200"/>
      <c r="AD105" s="201"/>
    </row>
    <row r="106" spans="1:30" ht="16.2" customHeight="1">
      <c r="A106" s="227"/>
      <c r="B106" s="33" t="s">
        <v>391</v>
      </c>
      <c r="C106" s="38">
        <v>120</v>
      </c>
      <c r="D106" s="72" t="s">
        <v>392</v>
      </c>
      <c r="E106" s="107">
        <v>40</v>
      </c>
      <c r="F106" s="17" t="s">
        <v>393</v>
      </c>
      <c r="G106" s="122">
        <v>30</v>
      </c>
      <c r="H106" s="15" t="s">
        <v>394</v>
      </c>
      <c r="I106" s="20">
        <v>120</v>
      </c>
      <c r="J106" s="126" t="s">
        <v>395</v>
      </c>
      <c r="K106" s="16">
        <v>20</v>
      </c>
      <c r="L106" s="21" t="s">
        <v>286</v>
      </c>
      <c r="M106" s="18">
        <v>110</v>
      </c>
      <c r="N106" s="22" t="e">
        <f>S107</f>
        <v>#REF!</v>
      </c>
      <c r="O106" s="7" t="s">
        <v>0</v>
      </c>
      <c r="P106" s="42">
        <f>M106/20+M107/55</f>
        <v>6.2272727272727275</v>
      </c>
      <c r="Q106" s="9" t="s">
        <v>262</v>
      </c>
      <c r="R106" s="74" t="s">
        <v>306</v>
      </c>
      <c r="S106" s="75" t="e">
        <f>P112</f>
        <v>#REF!</v>
      </c>
      <c r="T106" s="76" t="s">
        <v>274</v>
      </c>
      <c r="U106" s="77" t="s">
        <v>334</v>
      </c>
      <c r="W106" s="22">
        <f>AB107</f>
        <v>123.9</v>
      </c>
      <c r="X106" s="7" t="s">
        <v>0</v>
      </c>
      <c r="Y106" s="8">
        <f>M106/20+M107/20+G107/2/30</f>
        <v>7.666666666666667</v>
      </c>
      <c r="Z106" s="9" t="s">
        <v>262</v>
      </c>
      <c r="AA106" s="74" t="s">
        <v>306</v>
      </c>
      <c r="AB106" s="75">
        <f>Y112</f>
        <v>880.52995670995676</v>
      </c>
      <c r="AC106" s="76" t="s">
        <v>274</v>
      </c>
      <c r="AD106" s="77" t="s">
        <v>334</v>
      </c>
    </row>
    <row r="107" spans="1:30" ht="16.2" customHeight="1">
      <c r="A107" s="227"/>
      <c r="B107" s="81" t="s">
        <v>308</v>
      </c>
      <c r="C107" s="82">
        <v>0.4</v>
      </c>
      <c r="D107" s="79" t="s">
        <v>22</v>
      </c>
      <c r="E107" s="111">
        <v>15</v>
      </c>
      <c r="F107" s="33" t="s">
        <v>396</v>
      </c>
      <c r="G107" s="38">
        <v>10</v>
      </c>
      <c r="H107" s="13"/>
      <c r="I107" s="34"/>
      <c r="J107" s="127" t="s">
        <v>397</v>
      </c>
      <c r="K107" s="38">
        <v>10</v>
      </c>
      <c r="L107" s="21" t="s">
        <v>398</v>
      </c>
      <c r="M107" s="35">
        <v>40</v>
      </c>
      <c r="N107" s="36" t="s">
        <v>338</v>
      </c>
      <c r="O107" s="23" t="s">
        <v>5</v>
      </c>
      <c r="P107" s="24" t="e">
        <f>#REF!/35+G110/40+#REF!/20+#REF!*0.6/40</f>
        <v>#REF!</v>
      </c>
      <c r="Q107" s="25" t="s">
        <v>262</v>
      </c>
      <c r="R107" s="26" t="s">
        <v>339</v>
      </c>
      <c r="S107" s="27" t="e">
        <f>P106*15+P108*5+P109*15+P110*12</f>
        <v>#REF!</v>
      </c>
      <c r="T107" s="25" t="s">
        <v>264</v>
      </c>
      <c r="U107" s="28" t="e">
        <f>S107*4/S106</f>
        <v>#REF!</v>
      </c>
      <c r="W107" s="36" t="s">
        <v>338</v>
      </c>
      <c r="X107" s="23" t="s">
        <v>5</v>
      </c>
      <c r="Y107" s="24">
        <f>C106*0.6/40+E106/55+G107/2/35+K107*0.65/35</f>
        <v>2.8558441558441556</v>
      </c>
      <c r="Z107" s="25" t="s">
        <v>262</v>
      </c>
      <c r="AA107" s="26" t="s">
        <v>339</v>
      </c>
      <c r="AB107" s="27">
        <f>Y106*15+Y108*5+Y109*15+Y110*12</f>
        <v>123.9</v>
      </c>
      <c r="AC107" s="25" t="s">
        <v>264</v>
      </c>
      <c r="AD107" s="28">
        <f>AB107*4/AB106</f>
        <v>0.56284286096497771</v>
      </c>
    </row>
    <row r="108" spans="1:30" ht="16.2" customHeight="1">
      <c r="A108" s="227"/>
      <c r="B108" s="33"/>
      <c r="C108" s="38"/>
      <c r="D108" s="128" t="s">
        <v>270</v>
      </c>
      <c r="E108" s="111">
        <v>8</v>
      </c>
      <c r="F108" s="13" t="s">
        <v>265</v>
      </c>
      <c r="G108" s="34">
        <v>10</v>
      </c>
      <c r="H108" s="39"/>
      <c r="I108" s="14"/>
      <c r="J108" s="118" t="s">
        <v>308</v>
      </c>
      <c r="K108" s="136">
        <v>0.35</v>
      </c>
      <c r="L108" s="84"/>
      <c r="M108" s="85"/>
      <c r="N108" s="22" t="e">
        <f>S108</f>
        <v>#REF!</v>
      </c>
      <c r="O108" s="37" t="s">
        <v>318</v>
      </c>
      <c r="P108" s="24" t="e">
        <f>(C106+G106+G108+#REF!+G109+#REF!+#REF!+I106+#REF!)/100</f>
        <v>#REF!</v>
      </c>
      <c r="Q108" s="25" t="s">
        <v>262</v>
      </c>
      <c r="R108" s="26" t="s">
        <v>319</v>
      </c>
      <c r="S108" s="27" t="e">
        <f>P107*5+P110*4+P111*5</f>
        <v>#REF!</v>
      </c>
      <c r="T108" s="25" t="s">
        <v>264</v>
      </c>
      <c r="U108" s="28" t="e">
        <f>S108*9/S106</f>
        <v>#REF!</v>
      </c>
      <c r="W108" s="22">
        <f>AB108</f>
        <v>26.279220779220779</v>
      </c>
      <c r="X108" s="37" t="s">
        <v>318</v>
      </c>
      <c r="Y108" s="24">
        <f>(E107+E108+G108+I106+K106+K109)/100</f>
        <v>1.78</v>
      </c>
      <c r="Z108" s="25" t="s">
        <v>262</v>
      </c>
      <c r="AA108" s="26" t="s">
        <v>319</v>
      </c>
      <c r="AB108" s="27">
        <f>Y107*5+Y110*4+Y111*5</f>
        <v>26.279220779220779</v>
      </c>
      <c r="AC108" s="25" t="s">
        <v>264</v>
      </c>
      <c r="AD108" s="28">
        <f>AB108*9/AB106</f>
        <v>0.26860299892203837</v>
      </c>
    </row>
    <row r="109" spans="1:30" ht="16.2" customHeight="1">
      <c r="A109" s="227"/>
      <c r="B109" s="33"/>
      <c r="C109" s="38"/>
      <c r="D109" s="33" t="s">
        <v>399</v>
      </c>
      <c r="E109" s="35">
        <v>1</v>
      </c>
      <c r="F109" s="54"/>
      <c r="G109" s="34"/>
      <c r="H109" s="39"/>
      <c r="I109" s="14"/>
      <c r="J109" s="33" t="s">
        <v>265</v>
      </c>
      <c r="K109" s="38">
        <v>5</v>
      </c>
      <c r="L109" s="84"/>
      <c r="M109" s="85"/>
      <c r="N109" s="36" t="s">
        <v>260</v>
      </c>
      <c r="O109" s="41" t="s">
        <v>261</v>
      </c>
      <c r="P109" s="42">
        <v>0</v>
      </c>
      <c r="Q109" s="25" t="s">
        <v>262</v>
      </c>
      <c r="R109" s="26" t="s">
        <v>263</v>
      </c>
      <c r="S109" s="27" t="e">
        <f>P106*2+P107*7+P108*1+P110*8</f>
        <v>#REF!</v>
      </c>
      <c r="T109" s="25" t="s">
        <v>264</v>
      </c>
      <c r="U109" s="28" t="e">
        <f>S109*4/S106</f>
        <v>#REF!</v>
      </c>
      <c r="W109" s="36" t="s">
        <v>260</v>
      </c>
      <c r="X109" s="49" t="s">
        <v>261</v>
      </c>
      <c r="Y109" s="42">
        <v>0</v>
      </c>
      <c r="Z109" s="25" t="s">
        <v>262</v>
      </c>
      <c r="AA109" s="26" t="s">
        <v>263</v>
      </c>
      <c r="AB109" s="27">
        <f>Y106*2+Y107*7+Y108*1+Y110*8</f>
        <v>37.104242424242422</v>
      </c>
      <c r="AC109" s="25" t="s">
        <v>264</v>
      </c>
      <c r="AD109" s="28">
        <f>AB109*4/AB106</f>
        <v>0.16855414011298389</v>
      </c>
    </row>
    <row r="110" spans="1:30" ht="16.2" customHeight="1">
      <c r="A110" s="227" t="s">
        <v>401</v>
      </c>
      <c r="B110" s="33"/>
      <c r="C110" s="38"/>
      <c r="D110" s="21"/>
      <c r="E110" s="35"/>
      <c r="F110" s="54"/>
      <c r="G110" s="34"/>
      <c r="H110" s="39"/>
      <c r="I110" s="14"/>
      <c r="L110" s="84"/>
      <c r="M110" s="85"/>
      <c r="N110" s="22" t="e">
        <f>S109</f>
        <v>#REF!</v>
      </c>
      <c r="O110" s="49" t="s">
        <v>9</v>
      </c>
      <c r="P110" s="42">
        <v>0</v>
      </c>
      <c r="Q110" s="25" t="s">
        <v>262</v>
      </c>
      <c r="R110" s="50"/>
      <c r="S110" s="50"/>
      <c r="T110" s="50"/>
      <c r="U110" s="51" t="e">
        <f>SUM(U107:U109)</f>
        <v>#REF!</v>
      </c>
      <c r="W110" s="22">
        <f>AB109</f>
        <v>37.104242424242422</v>
      </c>
      <c r="X110" s="49" t="s">
        <v>9</v>
      </c>
      <c r="Y110" s="42">
        <v>0</v>
      </c>
      <c r="Z110" s="25" t="s">
        <v>262</v>
      </c>
      <c r="AA110" s="50"/>
      <c r="AB110" s="50"/>
      <c r="AC110" s="50"/>
      <c r="AD110" s="51">
        <f>SUM(AD107:AD109)</f>
        <v>0.99999999999999989</v>
      </c>
    </row>
    <row r="111" spans="1:30" ht="16.2" customHeight="1">
      <c r="A111" s="227"/>
      <c r="B111" s="33"/>
      <c r="C111" s="38"/>
      <c r="D111" s="21"/>
      <c r="E111" s="35"/>
      <c r="F111" s="47"/>
      <c r="G111" s="101"/>
      <c r="H111" s="39"/>
      <c r="I111" s="14"/>
      <c r="J111" s="118"/>
      <c r="K111" s="117"/>
      <c r="L111" s="84"/>
      <c r="M111" s="85"/>
      <c r="N111" s="36" t="s">
        <v>272</v>
      </c>
      <c r="O111" s="55" t="s">
        <v>269</v>
      </c>
      <c r="P111" s="42">
        <v>2.5</v>
      </c>
      <c r="Q111" s="25" t="s">
        <v>262</v>
      </c>
      <c r="R111" s="56"/>
      <c r="S111" s="56"/>
      <c r="T111" s="56"/>
      <c r="U111" s="57"/>
      <c r="W111" s="36" t="s">
        <v>272</v>
      </c>
      <c r="X111" s="55" t="s">
        <v>269</v>
      </c>
      <c r="Y111" s="42">
        <v>2.4</v>
      </c>
      <c r="Z111" s="25" t="s">
        <v>262</v>
      </c>
      <c r="AA111" s="56"/>
      <c r="AB111" s="56"/>
      <c r="AC111" s="56"/>
      <c r="AD111" s="57"/>
    </row>
    <row r="112" spans="1:30" ht="16.2" customHeight="1" thickBot="1">
      <c r="A112" s="228"/>
      <c r="B112" s="234" t="s">
        <v>199</v>
      </c>
      <c r="C112" s="235"/>
      <c r="D112" s="223" t="s">
        <v>195</v>
      </c>
      <c r="E112" s="224"/>
      <c r="F112" s="223" t="s">
        <v>275</v>
      </c>
      <c r="G112" s="224"/>
      <c r="H112" s="223" t="s">
        <v>197</v>
      </c>
      <c r="I112" s="224"/>
      <c r="J112" s="234" t="s">
        <v>196</v>
      </c>
      <c r="K112" s="235"/>
      <c r="L112" s="223" t="s">
        <v>198</v>
      </c>
      <c r="M112" s="224"/>
      <c r="N112" s="65" t="e">
        <f>P112</f>
        <v>#REF!</v>
      </c>
      <c r="O112" s="59" t="s">
        <v>273</v>
      </c>
      <c r="P112" s="60" t="e">
        <f>P106*68+P107*73+P108*24+P109*60+P110*112+P111*45</f>
        <v>#REF!</v>
      </c>
      <c r="Q112" s="61" t="s">
        <v>274</v>
      </c>
      <c r="R112" s="62"/>
      <c r="S112" s="62"/>
      <c r="T112" s="62"/>
      <c r="U112" s="63"/>
      <c r="W112" s="65">
        <f>Y112</f>
        <v>880.52995670995676</v>
      </c>
      <c r="X112" s="59" t="s">
        <v>273</v>
      </c>
      <c r="Y112" s="60">
        <f>Y106*68+Y107*73+Y108*24+Y109*60+Y110*112+Y111*45</f>
        <v>880.52995670995676</v>
      </c>
      <c r="Z112" s="61" t="s">
        <v>274</v>
      </c>
      <c r="AA112" s="62"/>
      <c r="AB112" s="62"/>
      <c r="AC112" s="62"/>
      <c r="AD112" s="63"/>
    </row>
    <row r="113" spans="1:30" ht="16.2" customHeight="1" thickBot="1">
      <c r="A113" s="215">
        <f>A105+1</f>
        <v>44083</v>
      </c>
      <c r="B113" s="219" t="s">
        <v>405</v>
      </c>
      <c r="C113" s="220"/>
      <c r="D113" s="219" t="s">
        <v>403</v>
      </c>
      <c r="E113" s="220"/>
      <c r="F113" s="219" t="s">
        <v>404</v>
      </c>
      <c r="G113" s="220"/>
      <c r="H113" s="217" t="s">
        <v>185</v>
      </c>
      <c r="I113" s="226"/>
      <c r="J113" s="217" t="s">
        <v>605</v>
      </c>
      <c r="K113" s="218"/>
      <c r="L113" s="239" t="s">
        <v>193</v>
      </c>
      <c r="M113" s="239"/>
      <c r="N113" s="6" t="s">
        <v>301</v>
      </c>
      <c r="O113" s="205" t="s">
        <v>302</v>
      </c>
      <c r="P113" s="206"/>
      <c r="Q113" s="207"/>
      <c r="R113" s="208" t="s">
        <v>303</v>
      </c>
      <c r="S113" s="209"/>
      <c r="T113" s="209"/>
      <c r="U113" s="210"/>
      <c r="W113" s="6" t="s">
        <v>301</v>
      </c>
      <c r="X113" s="196" t="s">
        <v>302</v>
      </c>
      <c r="Y113" s="197"/>
      <c r="Z113" s="198"/>
      <c r="AA113" s="199" t="s">
        <v>303</v>
      </c>
      <c r="AB113" s="200"/>
      <c r="AC113" s="200"/>
      <c r="AD113" s="201"/>
    </row>
    <row r="114" spans="1:30" ht="16.2" customHeight="1">
      <c r="A114" s="227"/>
      <c r="B114" s="69" t="s">
        <v>407</v>
      </c>
      <c r="C114" s="70">
        <v>85</v>
      </c>
      <c r="D114" s="15" t="s">
        <v>250</v>
      </c>
      <c r="E114" s="16">
        <v>25</v>
      </c>
      <c r="F114" s="127" t="s">
        <v>406</v>
      </c>
      <c r="G114" s="38">
        <v>20</v>
      </c>
      <c r="H114" s="130" t="s">
        <v>239</v>
      </c>
      <c r="I114" s="20">
        <v>120</v>
      </c>
      <c r="J114" s="17" t="s">
        <v>606</v>
      </c>
      <c r="K114" s="122">
        <v>20</v>
      </c>
      <c r="L114" s="91" t="s">
        <v>286</v>
      </c>
      <c r="M114" s="92">
        <v>140</v>
      </c>
      <c r="N114" s="22" t="e">
        <f>S115</f>
        <v>#REF!</v>
      </c>
      <c r="O114" s="7" t="s">
        <v>0</v>
      </c>
      <c r="P114" s="42">
        <f>C116/90+M114/20</f>
        <v>7</v>
      </c>
      <c r="Q114" s="9" t="s">
        <v>262</v>
      </c>
      <c r="R114" s="74" t="s">
        <v>306</v>
      </c>
      <c r="S114" s="75" t="e">
        <f>P120</f>
        <v>#REF!</v>
      </c>
      <c r="T114" s="76" t="s">
        <v>274</v>
      </c>
      <c r="U114" s="93"/>
      <c r="W114" s="22">
        <f>AB115</f>
        <v>121.32605042016807</v>
      </c>
      <c r="X114" s="7" t="s">
        <v>0</v>
      </c>
      <c r="Y114" s="8">
        <f>M114/20+G115/70+E114/85</f>
        <v>7.5084033613445378</v>
      </c>
      <c r="Z114" s="9" t="s">
        <v>262</v>
      </c>
      <c r="AA114" s="74" t="s">
        <v>306</v>
      </c>
      <c r="AB114" s="75">
        <f>Y120</f>
        <v>868.9028571428571</v>
      </c>
      <c r="AC114" s="76" t="s">
        <v>274</v>
      </c>
      <c r="AD114" s="93"/>
    </row>
    <row r="115" spans="1:30" ht="16.2" customHeight="1">
      <c r="A115" s="227"/>
      <c r="B115" s="81"/>
      <c r="C115" s="116"/>
      <c r="D115" s="33" t="s">
        <v>408</v>
      </c>
      <c r="E115" s="38">
        <v>15</v>
      </c>
      <c r="F115" s="31" t="s">
        <v>409</v>
      </c>
      <c r="G115" s="38">
        <v>15</v>
      </c>
      <c r="H115" s="87"/>
      <c r="I115" s="116"/>
      <c r="J115" s="33" t="s">
        <v>607</v>
      </c>
      <c r="K115" s="38">
        <v>10</v>
      </c>
      <c r="L115" s="84"/>
      <c r="M115" s="85"/>
      <c r="N115" s="36" t="s">
        <v>338</v>
      </c>
      <c r="O115" s="23" t="s">
        <v>5</v>
      </c>
      <c r="P115" s="24" t="e">
        <f>C114*0.68/40+#REF!/35+E116/25+E118/3/35+K114/225</f>
        <v>#REF!</v>
      </c>
      <c r="Q115" s="25" t="s">
        <v>262</v>
      </c>
      <c r="R115" s="26" t="s">
        <v>339</v>
      </c>
      <c r="S115" s="27" t="e">
        <f>P114*15+P116*5+P117*15+P118*12</f>
        <v>#REF!</v>
      </c>
      <c r="T115" s="25" t="s">
        <v>264</v>
      </c>
      <c r="U115" s="28" t="e">
        <f>S115*4/S114</f>
        <v>#REF!</v>
      </c>
      <c r="W115" s="36" t="s">
        <v>338</v>
      </c>
      <c r="X115" s="23" t="s">
        <v>5</v>
      </c>
      <c r="Y115" s="24">
        <f>C114/35+E116/35</f>
        <v>2.8571428571428568</v>
      </c>
      <c r="Z115" s="25" t="s">
        <v>262</v>
      </c>
      <c r="AA115" s="26" t="s">
        <v>339</v>
      </c>
      <c r="AB115" s="27">
        <f>Y114*15+Y116*5+Y117*15+Y118*12</f>
        <v>121.32605042016807</v>
      </c>
      <c r="AC115" s="25" t="s">
        <v>264</v>
      </c>
      <c r="AD115" s="28">
        <f>AB115*4/AB114</f>
        <v>0.55852526860880491</v>
      </c>
    </row>
    <row r="116" spans="1:30" ht="16.2" customHeight="1">
      <c r="A116" s="227"/>
      <c r="B116" s="33"/>
      <c r="C116" s="38"/>
      <c r="D116" s="33" t="s">
        <v>355</v>
      </c>
      <c r="E116" s="38">
        <v>15</v>
      </c>
      <c r="F116" s="31" t="s">
        <v>342</v>
      </c>
      <c r="G116" s="38">
        <v>8</v>
      </c>
      <c r="H116" s="87"/>
      <c r="I116" s="14"/>
      <c r="J116" s="33"/>
      <c r="K116" s="38"/>
      <c r="L116" s="84"/>
      <c r="M116" s="85"/>
      <c r="N116" s="22" t="e">
        <f>S116</f>
        <v>#REF!</v>
      </c>
      <c r="O116" s="37" t="s">
        <v>318</v>
      </c>
      <c r="P116" s="24" t="e">
        <f>(C117+E114+E115+G114+G115+#REF!+G117+I114+K115+K116+K117)/100</f>
        <v>#REF!</v>
      </c>
      <c r="Q116" s="25" t="s">
        <v>262</v>
      </c>
      <c r="R116" s="26" t="s">
        <v>319</v>
      </c>
      <c r="S116" s="27" t="e">
        <f>P115*5+P118*4+P119*5</f>
        <v>#REF!</v>
      </c>
      <c r="T116" s="25" t="s">
        <v>264</v>
      </c>
      <c r="U116" s="28" t="e">
        <f>S116*9/S114</f>
        <v>#REF!</v>
      </c>
      <c r="W116" s="22">
        <f>AB116</f>
        <v>26.285714285714285</v>
      </c>
      <c r="X116" s="37" t="s">
        <v>318</v>
      </c>
      <c r="Y116" s="24">
        <f>(E117+E118+G114+G116+G117+G118+I114)/100</f>
        <v>1.74</v>
      </c>
      <c r="Z116" s="25" t="s">
        <v>262</v>
      </c>
      <c r="AA116" s="26" t="s">
        <v>319</v>
      </c>
      <c r="AB116" s="27">
        <f>Y115*5+Y118*4+Y119*5</f>
        <v>26.285714285714285</v>
      </c>
      <c r="AC116" s="25" t="s">
        <v>264</v>
      </c>
      <c r="AD116" s="28">
        <f>AB116*9/AB114</f>
        <v>0.27226453063962436</v>
      </c>
    </row>
    <row r="117" spans="1:30" ht="16.2" customHeight="1">
      <c r="A117" s="227"/>
      <c r="B117" s="33"/>
      <c r="C117" s="38"/>
      <c r="D117" s="33" t="s">
        <v>265</v>
      </c>
      <c r="E117" s="38">
        <v>8</v>
      </c>
      <c r="F117" s="127" t="s">
        <v>270</v>
      </c>
      <c r="G117" s="38">
        <v>8</v>
      </c>
      <c r="H117" s="87"/>
      <c r="I117" s="14"/>
      <c r="L117" s="89"/>
      <c r="M117" s="32"/>
      <c r="N117" s="36" t="s">
        <v>260</v>
      </c>
      <c r="O117" s="41" t="s">
        <v>261</v>
      </c>
      <c r="P117" s="42">
        <v>0</v>
      </c>
      <c r="Q117" s="25" t="s">
        <v>262</v>
      </c>
      <c r="R117" s="26" t="s">
        <v>263</v>
      </c>
      <c r="S117" s="27" t="e">
        <f>P114*2+P115*7+P116*1+P118*8</f>
        <v>#REF!</v>
      </c>
      <c r="T117" s="25" t="s">
        <v>264</v>
      </c>
      <c r="U117" s="28" t="e">
        <f>S117*4/S114</f>
        <v>#REF!</v>
      </c>
      <c r="W117" s="36" t="s">
        <v>260</v>
      </c>
      <c r="X117" s="49" t="s">
        <v>261</v>
      </c>
      <c r="Y117" s="42">
        <v>0</v>
      </c>
      <c r="Z117" s="25" t="s">
        <v>262</v>
      </c>
      <c r="AA117" s="26" t="s">
        <v>263</v>
      </c>
      <c r="AB117" s="27">
        <f>Y114*2+Y115*7+Y116*1+Y118*8</f>
        <v>36.75680672268907</v>
      </c>
      <c r="AC117" s="25" t="s">
        <v>264</v>
      </c>
      <c r="AD117" s="28">
        <f>AB117*4/AB114</f>
        <v>0.16921020075157078</v>
      </c>
    </row>
    <row r="118" spans="1:30" ht="16.2" customHeight="1">
      <c r="A118" s="227" t="s">
        <v>410</v>
      </c>
      <c r="B118" s="13"/>
      <c r="C118" s="14"/>
      <c r="D118" s="33" t="s">
        <v>270</v>
      </c>
      <c r="E118" s="38">
        <v>5</v>
      </c>
      <c r="F118" s="33" t="s">
        <v>265</v>
      </c>
      <c r="G118" s="38">
        <v>5</v>
      </c>
      <c r="H118" s="87"/>
      <c r="I118" s="14"/>
      <c r="J118" s="87"/>
      <c r="K118" s="35"/>
      <c r="L118" s="84"/>
      <c r="M118" s="85"/>
      <c r="N118" s="22" t="e">
        <f>S117</f>
        <v>#REF!</v>
      </c>
      <c r="O118" s="49" t="s">
        <v>9</v>
      </c>
      <c r="P118" s="42">
        <v>0</v>
      </c>
      <c r="Q118" s="25" t="s">
        <v>262</v>
      </c>
      <c r="R118" s="50"/>
      <c r="S118" s="50"/>
      <c r="T118" s="50"/>
      <c r="U118" s="51" t="e">
        <f>SUM(U115:U117)</f>
        <v>#REF!</v>
      </c>
      <c r="W118" s="22">
        <f>AB117</f>
        <v>36.75680672268907</v>
      </c>
      <c r="X118" s="49" t="s">
        <v>9</v>
      </c>
      <c r="Y118" s="42">
        <v>0</v>
      </c>
      <c r="Z118" s="25" t="s">
        <v>262</v>
      </c>
      <c r="AA118" s="50"/>
      <c r="AB118" s="50"/>
      <c r="AC118" s="50"/>
      <c r="AD118" s="51">
        <f>SUM(AD115:AD117)</f>
        <v>1</v>
      </c>
    </row>
    <row r="119" spans="1:30" ht="16.2" customHeight="1">
      <c r="A119" s="227"/>
      <c r="B119" s="39"/>
      <c r="C119" s="14"/>
      <c r="D119" s="33" t="s">
        <v>266</v>
      </c>
      <c r="E119" s="38">
        <v>1</v>
      </c>
      <c r="F119" s="87"/>
      <c r="G119" s="14"/>
      <c r="H119" s="58"/>
      <c r="I119" s="64"/>
      <c r="J119" s="118"/>
      <c r="K119" s="117"/>
      <c r="L119" s="105"/>
      <c r="M119" s="88"/>
      <c r="N119" s="36" t="s">
        <v>272</v>
      </c>
      <c r="O119" s="55" t="s">
        <v>269</v>
      </c>
      <c r="P119" s="42">
        <v>2.5</v>
      </c>
      <c r="Q119" s="25" t="s">
        <v>262</v>
      </c>
      <c r="R119" s="56"/>
      <c r="S119" s="56"/>
      <c r="T119" s="56"/>
      <c r="U119" s="57"/>
      <c r="W119" s="36" t="s">
        <v>272</v>
      </c>
      <c r="X119" s="55" t="s">
        <v>269</v>
      </c>
      <c r="Y119" s="42">
        <v>2.4</v>
      </c>
      <c r="Z119" s="25" t="s">
        <v>262</v>
      </c>
      <c r="AA119" s="56"/>
      <c r="AB119" s="56"/>
      <c r="AC119" s="56"/>
      <c r="AD119" s="57"/>
    </row>
    <row r="120" spans="1:30" ht="16.2" customHeight="1" thickBot="1">
      <c r="A120" s="228"/>
      <c r="B120" s="223" t="s">
        <v>299</v>
      </c>
      <c r="C120" s="224"/>
      <c r="D120" s="234" t="s">
        <v>195</v>
      </c>
      <c r="E120" s="235"/>
      <c r="F120" s="238" t="s">
        <v>195</v>
      </c>
      <c r="G120" s="237"/>
      <c r="H120" s="223" t="s">
        <v>197</v>
      </c>
      <c r="I120" s="224"/>
      <c r="J120" s="223" t="s">
        <v>196</v>
      </c>
      <c r="K120" s="224"/>
      <c r="L120" s="223" t="s">
        <v>198</v>
      </c>
      <c r="M120" s="224"/>
      <c r="N120" s="65" t="e">
        <f>P120</f>
        <v>#REF!</v>
      </c>
      <c r="O120" s="59" t="s">
        <v>273</v>
      </c>
      <c r="P120" s="60" t="e">
        <f>P114*68+P115*73+P116*24+P117*60+P118*112+P119*45</f>
        <v>#REF!</v>
      </c>
      <c r="Q120" s="61" t="s">
        <v>274</v>
      </c>
      <c r="R120" s="62"/>
      <c r="S120" s="62"/>
      <c r="T120" s="62"/>
      <c r="U120" s="63"/>
      <c r="W120" s="65">
        <f>Y120</f>
        <v>868.9028571428571</v>
      </c>
      <c r="X120" s="59" t="s">
        <v>273</v>
      </c>
      <c r="Y120" s="60">
        <f>Y114*68+Y115*73+Y116*24+Y117*60+Y118*112+Y119*45</f>
        <v>868.9028571428571</v>
      </c>
      <c r="Z120" s="61" t="s">
        <v>274</v>
      </c>
      <c r="AA120" s="62"/>
      <c r="AB120" s="62"/>
      <c r="AC120" s="62"/>
      <c r="AD120" s="63"/>
    </row>
    <row r="121" spans="1:30" ht="16.2" customHeight="1" thickBot="1">
      <c r="A121" s="215">
        <f>A113+1</f>
        <v>44084</v>
      </c>
      <c r="B121" s="219" t="s">
        <v>411</v>
      </c>
      <c r="C121" s="220"/>
      <c r="D121" s="217" t="s">
        <v>412</v>
      </c>
      <c r="E121" s="218"/>
      <c r="F121" s="217" t="s">
        <v>644</v>
      </c>
      <c r="G121" s="218"/>
      <c r="H121" s="217" t="s">
        <v>185</v>
      </c>
      <c r="I121" s="226"/>
      <c r="J121" s="219" t="s">
        <v>413</v>
      </c>
      <c r="K121" s="220"/>
      <c r="L121" s="221" t="s">
        <v>187</v>
      </c>
      <c r="M121" s="222"/>
      <c r="N121" s="6" t="s">
        <v>301</v>
      </c>
      <c r="O121" s="205" t="s">
        <v>302</v>
      </c>
      <c r="P121" s="206"/>
      <c r="Q121" s="207"/>
      <c r="R121" s="208" t="s">
        <v>303</v>
      </c>
      <c r="S121" s="209"/>
      <c r="T121" s="209"/>
      <c r="U121" s="210"/>
      <c r="W121" s="6" t="s">
        <v>301</v>
      </c>
      <c r="X121" s="196" t="s">
        <v>302</v>
      </c>
      <c r="Y121" s="197"/>
      <c r="Z121" s="198"/>
      <c r="AA121" s="199" t="s">
        <v>303</v>
      </c>
      <c r="AB121" s="200"/>
      <c r="AC121" s="200"/>
      <c r="AD121" s="201"/>
    </row>
    <row r="122" spans="1:30" ht="16.2" customHeight="1">
      <c r="A122" s="227"/>
      <c r="B122" s="33" t="s">
        <v>414</v>
      </c>
      <c r="C122" s="38">
        <v>120</v>
      </c>
      <c r="D122" s="15" t="s">
        <v>415</v>
      </c>
      <c r="E122" s="114">
        <v>30</v>
      </c>
      <c r="F122" s="132" t="s">
        <v>416</v>
      </c>
      <c r="G122" s="38">
        <v>30</v>
      </c>
      <c r="H122" s="15" t="s">
        <v>417</v>
      </c>
      <c r="I122" s="121">
        <v>100</v>
      </c>
      <c r="J122" s="133" t="s">
        <v>418</v>
      </c>
      <c r="K122" s="134">
        <v>20</v>
      </c>
      <c r="L122" s="21" t="s">
        <v>333</v>
      </c>
      <c r="M122" s="18">
        <v>110</v>
      </c>
      <c r="N122" s="22">
        <f>S123</f>
        <v>103.60641025641026</v>
      </c>
      <c r="O122" s="7" t="s">
        <v>0</v>
      </c>
      <c r="P122" s="42">
        <f>E122/65+E124/45+E125/90+M122/20</f>
        <v>6.350427350427351</v>
      </c>
      <c r="Q122" s="9" t="s">
        <v>262</v>
      </c>
      <c r="R122" s="74" t="s">
        <v>306</v>
      </c>
      <c r="S122" s="75" t="e">
        <f>P128</f>
        <v>#REF!</v>
      </c>
      <c r="T122" s="76" t="s">
        <v>274</v>
      </c>
      <c r="U122" s="77" t="s">
        <v>334</v>
      </c>
      <c r="W122" s="22">
        <f>AB123</f>
        <v>121.85</v>
      </c>
      <c r="X122" s="7" t="s">
        <v>0</v>
      </c>
      <c r="Y122" s="8">
        <f>M122/20+M123/20</f>
        <v>7.5</v>
      </c>
      <c r="Z122" s="9" t="s">
        <v>262</v>
      </c>
      <c r="AA122" s="74" t="s">
        <v>306</v>
      </c>
      <c r="AB122" s="75">
        <f>Y128</f>
        <v>868.96279220779218</v>
      </c>
      <c r="AC122" s="76" t="s">
        <v>274</v>
      </c>
      <c r="AD122" s="77" t="s">
        <v>334</v>
      </c>
    </row>
    <row r="123" spans="1:30" ht="16.2" customHeight="1">
      <c r="A123" s="227"/>
      <c r="B123" s="81" t="s">
        <v>308</v>
      </c>
      <c r="C123" s="82">
        <v>0.4</v>
      </c>
      <c r="D123" s="33" t="s">
        <v>419</v>
      </c>
      <c r="E123" s="35">
        <v>10</v>
      </c>
      <c r="F123" s="132" t="s">
        <v>420</v>
      </c>
      <c r="G123" s="38">
        <v>15</v>
      </c>
      <c r="H123" s="118"/>
      <c r="I123" s="117"/>
      <c r="J123" s="135" t="s">
        <v>397</v>
      </c>
      <c r="K123" s="96">
        <v>10</v>
      </c>
      <c r="L123" s="21" t="s">
        <v>337</v>
      </c>
      <c r="M123" s="35">
        <v>40</v>
      </c>
      <c r="N123" s="36" t="s">
        <v>338</v>
      </c>
      <c r="O123" s="23" t="s">
        <v>5</v>
      </c>
      <c r="P123" s="24" t="e">
        <f>C122/35+E126/35+G125/35+#REF!*0.65/35</f>
        <v>#REF!</v>
      </c>
      <c r="Q123" s="25" t="s">
        <v>262</v>
      </c>
      <c r="R123" s="26" t="s">
        <v>339</v>
      </c>
      <c r="S123" s="27">
        <f>P122*15+P124*5+P125*15+P126*12</f>
        <v>103.60641025641026</v>
      </c>
      <c r="T123" s="25" t="s">
        <v>264</v>
      </c>
      <c r="U123" s="28" t="e">
        <f>S123*4/S122</f>
        <v>#REF!</v>
      </c>
      <c r="W123" s="36" t="s">
        <v>338</v>
      </c>
      <c r="X123" s="23" t="s">
        <v>5</v>
      </c>
      <c r="Y123" s="24">
        <f>C122*0.6/40+E123/110+E122/80+E125/35+G124/35+K123*0.65/35</f>
        <v>2.8230519480519476</v>
      </c>
      <c r="Z123" s="25" t="s">
        <v>262</v>
      </c>
      <c r="AA123" s="26" t="s">
        <v>339</v>
      </c>
      <c r="AB123" s="27">
        <f>Y122*15+Y124*5+Y125*15+Y126*12</f>
        <v>121.85</v>
      </c>
      <c r="AC123" s="25" t="s">
        <v>264</v>
      </c>
      <c r="AD123" s="28">
        <f>AB123*4/AB122</f>
        <v>0.56089858434749829</v>
      </c>
    </row>
    <row r="124" spans="1:30" ht="16.2" customHeight="1">
      <c r="A124" s="227"/>
      <c r="B124" s="33"/>
      <c r="C124" s="38"/>
      <c r="D124" s="13" t="s">
        <v>343</v>
      </c>
      <c r="E124" s="35">
        <v>15</v>
      </c>
      <c r="F124" s="47" t="s">
        <v>383</v>
      </c>
      <c r="G124" s="48">
        <v>8</v>
      </c>
      <c r="H124" s="21"/>
      <c r="I124" s="35"/>
      <c r="J124" s="118" t="s">
        <v>308</v>
      </c>
      <c r="K124" s="136">
        <v>0.35</v>
      </c>
      <c r="L124" s="84"/>
      <c r="M124" s="85"/>
      <c r="N124" s="22" t="e">
        <f>S124</f>
        <v>#REF!</v>
      </c>
      <c r="O124" s="37" t="s">
        <v>318</v>
      </c>
      <c r="P124" s="24">
        <f>(E123+E127+G122+G123+G124+I122+K98)/100</f>
        <v>1.67</v>
      </c>
      <c r="Q124" s="25" t="s">
        <v>262</v>
      </c>
      <c r="R124" s="26" t="s">
        <v>319</v>
      </c>
      <c r="S124" s="27" t="e">
        <f>P123*5+P126*4+P127*5</f>
        <v>#REF!</v>
      </c>
      <c r="T124" s="25" t="s">
        <v>264</v>
      </c>
      <c r="U124" s="28" t="e">
        <f>S124*9/S122</f>
        <v>#REF!</v>
      </c>
      <c r="W124" s="22">
        <f>AB124</f>
        <v>26.115259740259738</v>
      </c>
      <c r="X124" s="37" t="s">
        <v>318</v>
      </c>
      <c r="Y124" s="24">
        <f>(E124+G122+G123+G125+G126+I122+K122+K126)/100</f>
        <v>1.87</v>
      </c>
      <c r="Z124" s="25" t="s">
        <v>262</v>
      </c>
      <c r="AA124" s="26" t="s">
        <v>319</v>
      </c>
      <c r="AB124" s="27">
        <f>Y123*5+Y126*4+Y127*5</f>
        <v>26.115259740259738</v>
      </c>
      <c r="AC124" s="25" t="s">
        <v>264</v>
      </c>
      <c r="AD124" s="28">
        <f>AB124*9/AB122</f>
        <v>0.27048032409439915</v>
      </c>
    </row>
    <row r="125" spans="1:30" ht="16.2" customHeight="1">
      <c r="A125" s="227"/>
      <c r="B125" s="33"/>
      <c r="C125" s="38"/>
      <c r="D125" s="137" t="s">
        <v>355</v>
      </c>
      <c r="E125" s="138">
        <v>5</v>
      </c>
      <c r="F125" s="47" t="s">
        <v>265</v>
      </c>
      <c r="G125" s="48">
        <v>3</v>
      </c>
      <c r="H125" s="47"/>
      <c r="I125" s="48"/>
      <c r="J125" s="21" t="s">
        <v>421</v>
      </c>
      <c r="K125" s="139" t="s">
        <v>422</v>
      </c>
      <c r="L125" s="84"/>
      <c r="M125" s="85"/>
      <c r="N125" s="36" t="s">
        <v>260</v>
      </c>
      <c r="O125" s="41" t="s">
        <v>261</v>
      </c>
      <c r="P125" s="42">
        <v>0</v>
      </c>
      <c r="Q125" s="25" t="s">
        <v>262</v>
      </c>
      <c r="R125" s="26" t="s">
        <v>263</v>
      </c>
      <c r="S125" s="27" t="e">
        <f>P122*2+P123*7+P124*1+P126*8</f>
        <v>#REF!</v>
      </c>
      <c r="T125" s="25" t="s">
        <v>264</v>
      </c>
      <c r="U125" s="28" t="e">
        <f>S125*4/S122</f>
        <v>#REF!</v>
      </c>
      <c r="W125" s="36" t="s">
        <v>260</v>
      </c>
      <c r="X125" s="49" t="s">
        <v>261</v>
      </c>
      <c r="Y125" s="42">
        <f>C172/65</f>
        <v>0</v>
      </c>
      <c r="Z125" s="25" t="s">
        <v>262</v>
      </c>
      <c r="AA125" s="26" t="s">
        <v>263</v>
      </c>
      <c r="AB125" s="27">
        <f>Y122*2+Y123*7+Y124*1+Y126*8</f>
        <v>36.631363636363631</v>
      </c>
      <c r="AC125" s="25" t="s">
        <v>264</v>
      </c>
      <c r="AD125" s="28">
        <f>AB125*4/AB122</f>
        <v>0.16862109155810251</v>
      </c>
    </row>
    <row r="126" spans="1:30" ht="16.2" customHeight="1">
      <c r="A126" s="227" t="s">
        <v>345</v>
      </c>
      <c r="B126" s="33"/>
      <c r="C126" s="38"/>
      <c r="D126" s="47" t="s">
        <v>325</v>
      </c>
      <c r="E126" s="48">
        <v>1</v>
      </c>
      <c r="F126" s="33" t="s">
        <v>423</v>
      </c>
      <c r="G126" s="88">
        <v>1</v>
      </c>
      <c r="H126" s="31"/>
      <c r="I126" s="140"/>
      <c r="J126" s="47" t="s">
        <v>265</v>
      </c>
      <c r="K126" s="48">
        <v>3</v>
      </c>
      <c r="L126" s="84"/>
      <c r="M126" s="85"/>
      <c r="N126" s="22" t="e">
        <f>S125</f>
        <v>#REF!</v>
      </c>
      <c r="O126" s="49" t="s">
        <v>9</v>
      </c>
      <c r="P126" s="42">
        <v>0</v>
      </c>
      <c r="Q126" s="25" t="s">
        <v>262</v>
      </c>
      <c r="R126" s="50"/>
      <c r="S126" s="50"/>
      <c r="T126" s="50"/>
      <c r="U126" s="51" t="e">
        <f>SUM(U123:U125)</f>
        <v>#REF!</v>
      </c>
      <c r="W126" s="22">
        <f>AB125</f>
        <v>36.631363636363631</v>
      </c>
      <c r="X126" s="49" t="s">
        <v>9</v>
      </c>
      <c r="Y126" s="42">
        <v>0</v>
      </c>
      <c r="Z126" s="25" t="s">
        <v>262</v>
      </c>
      <c r="AA126" s="50"/>
      <c r="AB126" s="50"/>
      <c r="AC126" s="50"/>
      <c r="AD126" s="51">
        <f>SUM(AD123:AD125)</f>
        <v>1</v>
      </c>
    </row>
    <row r="127" spans="1:30" ht="16.2" customHeight="1">
      <c r="A127" s="227"/>
      <c r="B127" s="33"/>
      <c r="C127" s="38"/>
      <c r="D127" s="47"/>
      <c r="E127" s="32"/>
      <c r="F127" s="33"/>
      <c r="G127" s="88"/>
      <c r="H127" s="31"/>
      <c r="I127" s="140"/>
      <c r="J127" s="141"/>
      <c r="K127" s="142"/>
      <c r="L127" s="84"/>
      <c r="M127" s="85"/>
      <c r="N127" s="36" t="s">
        <v>272</v>
      </c>
      <c r="O127" s="55" t="s">
        <v>269</v>
      </c>
      <c r="P127" s="42">
        <v>2.5</v>
      </c>
      <c r="Q127" s="25" t="s">
        <v>262</v>
      </c>
      <c r="R127" s="56"/>
      <c r="S127" s="56"/>
      <c r="T127" s="56"/>
      <c r="U127" s="57"/>
      <c r="W127" s="36" t="s">
        <v>272</v>
      </c>
      <c r="X127" s="55" t="s">
        <v>269</v>
      </c>
      <c r="Y127" s="42">
        <v>2.4</v>
      </c>
      <c r="Z127" s="25" t="s">
        <v>262</v>
      </c>
      <c r="AA127" s="56"/>
      <c r="AB127" s="56"/>
      <c r="AC127" s="56"/>
      <c r="AD127" s="57"/>
    </row>
    <row r="128" spans="1:30" ht="16.2" customHeight="1" thickBot="1">
      <c r="A128" s="228"/>
      <c r="B128" s="234" t="s">
        <v>275</v>
      </c>
      <c r="C128" s="235"/>
      <c r="D128" s="223" t="s">
        <v>196</v>
      </c>
      <c r="E128" s="224"/>
      <c r="F128" s="234" t="s">
        <v>195</v>
      </c>
      <c r="G128" s="235"/>
      <c r="H128" s="223" t="s">
        <v>197</v>
      </c>
      <c r="I128" s="224"/>
      <c r="J128" s="234" t="s">
        <v>196</v>
      </c>
      <c r="K128" s="235"/>
      <c r="L128" s="223" t="s">
        <v>198</v>
      </c>
      <c r="M128" s="224"/>
      <c r="N128" s="65" t="e">
        <f>P128</f>
        <v>#REF!</v>
      </c>
      <c r="O128" s="59" t="s">
        <v>273</v>
      </c>
      <c r="P128" s="60" t="e">
        <f>P122*68+P123*73+P124*24+P125*60+P126*112+P127*45</f>
        <v>#REF!</v>
      </c>
      <c r="Q128" s="61" t="s">
        <v>274</v>
      </c>
      <c r="R128" s="62"/>
      <c r="S128" s="62"/>
      <c r="T128" s="62"/>
      <c r="U128" s="63"/>
      <c r="W128" s="65">
        <f>Y128</f>
        <v>868.96279220779218</v>
      </c>
      <c r="X128" s="59" t="s">
        <v>273</v>
      </c>
      <c r="Y128" s="60">
        <f>Y122*68+Y123*73+Y124*24+Y125*60+Y126*112+Y127*45</f>
        <v>868.96279220779218</v>
      </c>
      <c r="Z128" s="61" t="s">
        <v>274</v>
      </c>
      <c r="AA128" s="62"/>
      <c r="AB128" s="62"/>
      <c r="AC128" s="62"/>
      <c r="AD128" s="63"/>
    </row>
    <row r="129" spans="1:30" ht="16.2" customHeight="1" thickBot="1">
      <c r="A129" s="215">
        <f>A121+1</f>
        <v>44085</v>
      </c>
      <c r="B129" s="221" t="s">
        <v>424</v>
      </c>
      <c r="C129" s="222"/>
      <c r="D129" s="217" t="s">
        <v>425</v>
      </c>
      <c r="E129" s="222"/>
      <c r="F129" s="219" t="s">
        <v>426</v>
      </c>
      <c r="G129" s="220"/>
      <c r="H129" s="217" t="s">
        <v>185</v>
      </c>
      <c r="I129" s="226"/>
      <c r="J129" s="219" t="s">
        <v>427</v>
      </c>
      <c r="K129" s="220"/>
      <c r="L129" s="239" t="s">
        <v>193</v>
      </c>
      <c r="M129" s="239"/>
      <c r="N129" s="6" t="s">
        <v>301</v>
      </c>
      <c r="O129" s="205" t="s">
        <v>302</v>
      </c>
      <c r="P129" s="206"/>
      <c r="Q129" s="207"/>
      <c r="R129" s="208" t="s">
        <v>303</v>
      </c>
      <c r="S129" s="209"/>
      <c r="T129" s="209"/>
      <c r="U129" s="210"/>
      <c r="W129" s="6" t="s">
        <v>301</v>
      </c>
      <c r="X129" s="196" t="s">
        <v>302</v>
      </c>
      <c r="Y129" s="197"/>
      <c r="Z129" s="198"/>
      <c r="AA129" s="199" t="s">
        <v>303</v>
      </c>
      <c r="AB129" s="200"/>
      <c r="AC129" s="200"/>
      <c r="AD129" s="201"/>
    </row>
    <row r="130" spans="1:30" ht="16.2" customHeight="1">
      <c r="A130" s="227"/>
      <c r="B130" s="106" t="s">
        <v>328</v>
      </c>
      <c r="C130" s="96">
        <v>85</v>
      </c>
      <c r="D130" s="17" t="s">
        <v>428</v>
      </c>
      <c r="E130" s="18">
        <v>45</v>
      </c>
      <c r="F130" s="17" t="s">
        <v>429</v>
      </c>
      <c r="G130" s="18">
        <v>15</v>
      </c>
      <c r="H130" s="15" t="s">
        <v>331</v>
      </c>
      <c r="I130" s="114">
        <v>100</v>
      </c>
      <c r="J130" s="17" t="s">
        <v>430</v>
      </c>
      <c r="K130" s="18">
        <v>20</v>
      </c>
      <c r="L130" s="91" t="s">
        <v>286</v>
      </c>
      <c r="M130" s="92">
        <v>140</v>
      </c>
      <c r="N130" s="22" t="e">
        <f>S131</f>
        <v>#REF!</v>
      </c>
      <c r="O130" s="7" t="s">
        <v>0</v>
      </c>
      <c r="P130" s="42">
        <f>E130/65+E132/45+E133/90+M130/20</f>
        <v>7.9811965811965813</v>
      </c>
      <c r="Q130" s="9" t="s">
        <v>262</v>
      </c>
      <c r="R130" s="74" t="s">
        <v>306</v>
      </c>
      <c r="S130" s="75" t="e">
        <f>P136</f>
        <v>#REF!</v>
      </c>
      <c r="T130" s="76" t="s">
        <v>274</v>
      </c>
      <c r="U130" s="77" t="s">
        <v>334</v>
      </c>
      <c r="W130" s="22">
        <f>AB131</f>
        <v>123.5813725490196</v>
      </c>
      <c r="X130" s="7" t="s">
        <v>0</v>
      </c>
      <c r="Y130" s="42">
        <f>M130/20+E131/85+E132/20+E133/90</f>
        <v>7.6287581699346401</v>
      </c>
      <c r="Z130" s="9" t="s">
        <v>262</v>
      </c>
      <c r="AA130" s="74" t="s">
        <v>306</v>
      </c>
      <c r="AB130" s="75">
        <f>Y136</f>
        <v>880.81126984126968</v>
      </c>
      <c r="AC130" s="76" t="s">
        <v>274</v>
      </c>
      <c r="AD130" s="93"/>
    </row>
    <row r="131" spans="1:30" ht="16.2" customHeight="1">
      <c r="A131" s="227"/>
      <c r="B131" s="109" t="s">
        <v>308</v>
      </c>
      <c r="C131" s="110">
        <v>0</v>
      </c>
      <c r="D131" s="39" t="s">
        <v>332</v>
      </c>
      <c r="E131" s="14">
        <v>10</v>
      </c>
      <c r="F131" s="13" t="s">
        <v>431</v>
      </c>
      <c r="G131" s="14">
        <v>1</v>
      </c>
      <c r="H131" s="33"/>
      <c r="I131" s="35"/>
      <c r="J131" s="13" t="s">
        <v>343</v>
      </c>
      <c r="K131" s="14">
        <v>8</v>
      </c>
      <c r="L131" s="84"/>
      <c r="M131" s="85"/>
      <c r="N131" s="36" t="s">
        <v>338</v>
      </c>
      <c r="O131" s="23" t="s">
        <v>5</v>
      </c>
      <c r="P131" s="24" t="e">
        <f>C130/35+E135/35+#REF!/35+#REF!*0.65/35</f>
        <v>#REF!</v>
      </c>
      <c r="Q131" s="25" t="s">
        <v>262</v>
      </c>
      <c r="R131" s="26" t="s">
        <v>339</v>
      </c>
      <c r="S131" s="27" t="e">
        <f>P130*15+P132*5+P133*15+P134*12</f>
        <v>#REF!</v>
      </c>
      <c r="T131" s="25" t="s">
        <v>264</v>
      </c>
      <c r="U131" s="28" t="e">
        <f>S131*4/S130</f>
        <v>#REF!</v>
      </c>
      <c r="W131" s="36" t="s">
        <v>338</v>
      </c>
      <c r="X131" s="23" t="s">
        <v>5</v>
      </c>
      <c r="Y131" s="24">
        <f>C130/35+G130/50+K132*0.6/40</f>
        <v>2.8785714285714281</v>
      </c>
      <c r="Z131" s="25" t="s">
        <v>262</v>
      </c>
      <c r="AA131" s="26" t="s">
        <v>339</v>
      </c>
      <c r="AB131" s="27">
        <f>Y130*15+Y132*5+Y133*15+Y134*12</f>
        <v>123.5813725490196</v>
      </c>
      <c r="AC131" s="25" t="s">
        <v>264</v>
      </c>
      <c r="AD131" s="28">
        <f>AB131*4/AB130</f>
        <v>0.5612161278149409</v>
      </c>
    </row>
    <row r="132" spans="1:30" ht="16.2" customHeight="1">
      <c r="A132" s="227"/>
      <c r="B132" s="33" t="s">
        <v>342</v>
      </c>
      <c r="C132" s="38">
        <v>5</v>
      </c>
      <c r="D132" s="13" t="s">
        <v>432</v>
      </c>
      <c r="E132" s="14">
        <v>8</v>
      </c>
      <c r="F132" s="13"/>
      <c r="G132" s="14"/>
      <c r="H132" s="33"/>
      <c r="I132" s="35"/>
      <c r="J132" s="13" t="s">
        <v>433</v>
      </c>
      <c r="K132" s="14">
        <v>10</v>
      </c>
      <c r="L132" s="84"/>
      <c r="M132" s="85"/>
      <c r="N132" s="22" t="e">
        <f>S132</f>
        <v>#REF!</v>
      </c>
      <c r="O132" s="37" t="s">
        <v>318</v>
      </c>
      <c r="P132" s="24" t="e">
        <f>(E131+#REF!+G130+G131+G132+I130+#REF!)/100</f>
        <v>#REF!</v>
      </c>
      <c r="Q132" s="25" t="s">
        <v>262</v>
      </c>
      <c r="R132" s="26" t="s">
        <v>319</v>
      </c>
      <c r="S132" s="27" t="e">
        <f>P131*5+P134*4+P135*5</f>
        <v>#REF!</v>
      </c>
      <c r="T132" s="25" t="s">
        <v>264</v>
      </c>
      <c r="U132" s="28" t="e">
        <f>S132*9/S130</f>
        <v>#REF!</v>
      </c>
      <c r="W132" s="22">
        <f>AB132</f>
        <v>26.392857142857139</v>
      </c>
      <c r="X132" s="37" t="s">
        <v>318</v>
      </c>
      <c r="Y132" s="24">
        <f>(C132+E130+E134+I130+K130+K131)/100</f>
        <v>1.83</v>
      </c>
      <c r="Z132" s="25" t="s">
        <v>262</v>
      </c>
      <c r="AA132" s="26" t="s">
        <v>319</v>
      </c>
      <c r="AB132" s="27">
        <f>Y131*5+Y134*4+Y135*5</f>
        <v>26.392857142857139</v>
      </c>
      <c r="AC132" s="25" t="s">
        <v>264</v>
      </c>
      <c r="AD132" s="28">
        <f>AB132*9/AB130</f>
        <v>0.26967833225898707</v>
      </c>
    </row>
    <row r="133" spans="1:30" ht="16.2" customHeight="1">
      <c r="A133" s="227"/>
      <c r="B133" s="33"/>
      <c r="C133" s="38"/>
      <c r="D133" s="58" t="s">
        <v>384</v>
      </c>
      <c r="E133" s="35">
        <v>10</v>
      </c>
      <c r="F133" s="13"/>
      <c r="G133" s="14"/>
      <c r="H133" s="21"/>
      <c r="I133" s="35"/>
      <c r="J133" s="118" t="s">
        <v>308</v>
      </c>
      <c r="K133" s="136">
        <v>0.4</v>
      </c>
      <c r="L133" s="89"/>
      <c r="M133" s="32"/>
      <c r="N133" s="36" t="s">
        <v>260</v>
      </c>
      <c r="O133" s="41" t="s">
        <v>261</v>
      </c>
      <c r="P133" s="42">
        <v>0</v>
      </c>
      <c r="Q133" s="25" t="s">
        <v>262</v>
      </c>
      <c r="R133" s="26" t="s">
        <v>263</v>
      </c>
      <c r="S133" s="27" t="e">
        <f>P130*2+P131*7+P132*1+P134*8</f>
        <v>#REF!</v>
      </c>
      <c r="T133" s="25" t="s">
        <v>264</v>
      </c>
      <c r="U133" s="28" t="e">
        <f>S133*4/S130</f>
        <v>#REF!</v>
      </c>
      <c r="W133" s="36" t="s">
        <v>260</v>
      </c>
      <c r="X133" s="49" t="s">
        <v>261</v>
      </c>
      <c r="Y133" s="42">
        <v>0</v>
      </c>
      <c r="Z133" s="25" t="s">
        <v>262</v>
      </c>
      <c r="AA133" s="26" t="s">
        <v>263</v>
      </c>
      <c r="AB133" s="27">
        <f>Y130*2+Y131*7+Y132*1+Y134*8</f>
        <v>37.237516339869273</v>
      </c>
      <c r="AC133" s="25" t="s">
        <v>264</v>
      </c>
      <c r="AD133" s="28">
        <f>AB133*4/AB130</f>
        <v>0.16910553992607211</v>
      </c>
    </row>
    <row r="134" spans="1:30" ht="16.2" customHeight="1">
      <c r="A134" s="227" t="s">
        <v>360</v>
      </c>
      <c r="B134" s="31"/>
      <c r="C134" s="32"/>
      <c r="D134" s="47" t="s">
        <v>265</v>
      </c>
      <c r="E134" s="38">
        <v>5</v>
      </c>
      <c r="F134" s="31"/>
      <c r="G134" s="32"/>
      <c r="H134" s="21"/>
      <c r="I134" s="35"/>
      <c r="J134" s="143"/>
      <c r="K134" s="85"/>
      <c r="L134" s="84"/>
      <c r="M134" s="85"/>
      <c r="N134" s="22" t="e">
        <f>S133</f>
        <v>#REF!</v>
      </c>
      <c r="O134" s="49" t="s">
        <v>9</v>
      </c>
      <c r="P134" s="42">
        <v>0</v>
      </c>
      <c r="Q134" s="25" t="s">
        <v>262</v>
      </c>
      <c r="R134" s="50"/>
      <c r="S134" s="50"/>
      <c r="T134" s="50"/>
      <c r="U134" s="51" t="e">
        <f>SUM(U131:U133)</f>
        <v>#REF!</v>
      </c>
      <c r="W134" s="22">
        <f>AB133</f>
        <v>37.237516339869273</v>
      </c>
      <c r="X134" s="49" t="s">
        <v>9</v>
      </c>
      <c r="Y134" s="42">
        <v>0</v>
      </c>
      <c r="Z134" s="25" t="s">
        <v>262</v>
      </c>
      <c r="AA134" s="50"/>
      <c r="AB134" s="50"/>
      <c r="AC134" s="50"/>
      <c r="AD134" s="51">
        <f>SUM(AD131:AD133)</f>
        <v>1</v>
      </c>
    </row>
    <row r="135" spans="1:30" ht="16.2" customHeight="1">
      <c r="A135" s="227"/>
      <c r="B135" s="31"/>
      <c r="C135" s="32"/>
      <c r="D135" s="43" t="s">
        <v>266</v>
      </c>
      <c r="E135" s="38">
        <v>0.5</v>
      </c>
      <c r="F135" s="21"/>
      <c r="G135" s="35"/>
      <c r="H135" s="105"/>
      <c r="I135" s="88"/>
      <c r="J135" s="21"/>
      <c r="K135" s="35"/>
      <c r="L135" s="105"/>
      <c r="M135" s="88"/>
      <c r="N135" s="36" t="s">
        <v>272</v>
      </c>
      <c r="O135" s="55" t="s">
        <v>269</v>
      </c>
      <c r="P135" s="42">
        <v>2.5</v>
      </c>
      <c r="Q135" s="25" t="s">
        <v>262</v>
      </c>
      <c r="R135" s="56"/>
      <c r="S135" s="56"/>
      <c r="T135" s="56"/>
      <c r="U135" s="57"/>
      <c r="W135" s="36" t="s">
        <v>272</v>
      </c>
      <c r="X135" s="55" t="s">
        <v>269</v>
      </c>
      <c r="Y135" s="42">
        <v>2.4</v>
      </c>
      <c r="Z135" s="25" t="s">
        <v>262</v>
      </c>
      <c r="AA135" s="56"/>
      <c r="AB135" s="56"/>
      <c r="AC135" s="56"/>
      <c r="AD135" s="57"/>
    </row>
    <row r="136" spans="1:30" ht="16.649999999999999" thickBot="1">
      <c r="A136" s="228"/>
      <c r="B136" s="223" t="s">
        <v>275</v>
      </c>
      <c r="C136" s="224"/>
      <c r="D136" s="223" t="s">
        <v>196</v>
      </c>
      <c r="E136" s="224"/>
      <c r="F136" s="223" t="s">
        <v>195</v>
      </c>
      <c r="G136" s="224"/>
      <c r="H136" s="223" t="s">
        <v>197</v>
      </c>
      <c r="I136" s="224"/>
      <c r="J136" s="223" t="s">
        <v>196</v>
      </c>
      <c r="K136" s="224"/>
      <c r="L136" s="223" t="s">
        <v>198</v>
      </c>
      <c r="M136" s="224"/>
      <c r="N136" s="65" t="e">
        <f>P136</f>
        <v>#REF!</v>
      </c>
      <c r="O136" s="59" t="s">
        <v>273</v>
      </c>
      <c r="P136" s="60" t="e">
        <f>P130*68+P131*73+P132*24+P133*60+P134*112+P135*45</f>
        <v>#REF!</v>
      </c>
      <c r="Q136" s="61" t="s">
        <v>274</v>
      </c>
      <c r="R136" s="62"/>
      <c r="S136" s="62"/>
      <c r="T136" s="62"/>
      <c r="U136" s="63"/>
      <c r="W136" s="65">
        <f>Y136</f>
        <v>880.81126984126968</v>
      </c>
      <c r="X136" s="59" t="s">
        <v>273</v>
      </c>
      <c r="Y136" s="60">
        <f>Y130*68+Y131*73+Y132*24+Y133*60+Y134*112+Y135*45</f>
        <v>880.81126984126968</v>
      </c>
      <c r="Z136" s="61" t="s">
        <v>274</v>
      </c>
      <c r="AA136" s="62"/>
      <c r="AB136" s="62"/>
      <c r="AC136" s="62"/>
      <c r="AD136" s="63"/>
    </row>
    <row r="137" spans="1:30" ht="16.2" customHeight="1">
      <c r="A137" s="229" t="s">
        <v>362</v>
      </c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0"/>
    </row>
    <row r="138" spans="1:30">
      <c r="A138" s="230" t="s">
        <v>363</v>
      </c>
      <c r="B138" s="230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</row>
    <row r="139" spans="1:30" ht="16.2" customHeight="1">
      <c r="A139" s="231" t="s">
        <v>434</v>
      </c>
      <c r="B139" s="231"/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</row>
    <row r="140" spans="1:30">
      <c r="A140" s="232" t="s">
        <v>435</v>
      </c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</row>
    <row r="141" spans="1:30" ht="16.649999999999999" thickBot="1">
      <c r="A141" s="233" t="s">
        <v>436</v>
      </c>
      <c r="B141" s="233"/>
      <c r="C141" s="233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</row>
    <row r="142" spans="1:30" ht="22.75" thickBot="1">
      <c r="A142" s="211" t="s">
        <v>586</v>
      </c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X142" s="212"/>
      <c r="Y142" s="213"/>
      <c r="Z142" s="213"/>
      <c r="AA142" s="213"/>
      <c r="AB142" s="213"/>
      <c r="AC142" s="213"/>
      <c r="AD142" s="214"/>
    </row>
    <row r="143" spans="1:30" ht="30.05" customHeight="1" thickBot="1">
      <c r="A143" s="119" t="s">
        <v>217</v>
      </c>
      <c r="B143" s="5" t="s">
        <v>218</v>
      </c>
      <c r="C143" s="4" t="s">
        <v>219</v>
      </c>
      <c r="D143" s="5" t="s">
        <v>220</v>
      </c>
      <c r="E143" s="4" t="s">
        <v>219</v>
      </c>
      <c r="F143" s="5" t="s">
        <v>220</v>
      </c>
      <c r="G143" s="4" t="s">
        <v>219</v>
      </c>
      <c r="H143" s="5" t="s">
        <v>220</v>
      </c>
      <c r="I143" s="4" t="s">
        <v>219</v>
      </c>
      <c r="J143" s="5" t="s">
        <v>222</v>
      </c>
      <c r="K143" s="4" t="s">
        <v>219</v>
      </c>
      <c r="L143" s="5" t="s">
        <v>223</v>
      </c>
      <c r="M143" s="4" t="s">
        <v>219</v>
      </c>
      <c r="N143" s="4" t="s">
        <v>224</v>
      </c>
      <c r="O143" s="212" t="s">
        <v>225</v>
      </c>
      <c r="P143" s="213"/>
      <c r="Q143" s="213"/>
      <c r="R143" s="213"/>
      <c r="S143" s="213"/>
      <c r="T143" s="213"/>
      <c r="U143" s="214"/>
      <c r="W143" s="4" t="s">
        <v>224</v>
      </c>
      <c r="X143" s="212" t="s">
        <v>225</v>
      </c>
      <c r="Y143" s="213"/>
      <c r="Z143" s="213"/>
      <c r="AA143" s="213"/>
      <c r="AB143" s="213"/>
      <c r="AC143" s="213"/>
      <c r="AD143" s="214"/>
    </row>
    <row r="144" spans="1:30" ht="16.2" customHeight="1" thickBot="1">
      <c r="A144" s="215">
        <f>A129+3</f>
        <v>44088</v>
      </c>
      <c r="B144" s="219" t="s">
        <v>440</v>
      </c>
      <c r="C144" s="220"/>
      <c r="D144" s="219" t="s">
        <v>437</v>
      </c>
      <c r="E144" s="220"/>
      <c r="F144" s="217" t="s">
        <v>438</v>
      </c>
      <c r="G144" s="218"/>
      <c r="H144" s="217" t="s">
        <v>185</v>
      </c>
      <c r="I144" s="226"/>
      <c r="J144" s="219" t="s">
        <v>439</v>
      </c>
      <c r="K144" s="220"/>
      <c r="L144" s="221" t="s">
        <v>650</v>
      </c>
      <c r="M144" s="222"/>
      <c r="N144" s="6" t="s">
        <v>301</v>
      </c>
      <c r="O144" s="7" t="s">
        <v>0</v>
      </c>
      <c r="P144" s="8">
        <f>C145/65+G145/55+G146/90+K145/20+M145/20+M146/20</f>
        <v>9.3597513597513604</v>
      </c>
      <c r="Q144" s="9" t="s">
        <v>262</v>
      </c>
      <c r="R144" s="10" t="s">
        <v>306</v>
      </c>
      <c r="S144" s="11" t="e">
        <f>P150</f>
        <v>#REF!</v>
      </c>
      <c r="T144" s="9" t="s">
        <v>274</v>
      </c>
      <c r="U144" s="12" t="s">
        <v>334</v>
      </c>
      <c r="W144" s="6" t="s">
        <v>301</v>
      </c>
      <c r="X144" s="196" t="s">
        <v>302</v>
      </c>
      <c r="Y144" s="197"/>
      <c r="Z144" s="198"/>
      <c r="AA144" s="199" t="s">
        <v>303</v>
      </c>
      <c r="AB144" s="200"/>
      <c r="AC144" s="200"/>
      <c r="AD144" s="201"/>
    </row>
    <row r="145" spans="1:30" ht="16.2" customHeight="1">
      <c r="A145" s="227"/>
      <c r="B145" s="69" t="s">
        <v>445</v>
      </c>
      <c r="C145" s="70">
        <v>70</v>
      </c>
      <c r="D145" s="47" t="s">
        <v>329</v>
      </c>
      <c r="E145" s="48">
        <v>30</v>
      </c>
      <c r="F145" s="15" t="s">
        <v>442</v>
      </c>
      <c r="G145" s="144">
        <v>40</v>
      </c>
      <c r="H145" s="19" t="s">
        <v>443</v>
      </c>
      <c r="I145" s="20">
        <v>100</v>
      </c>
      <c r="J145" s="90" t="s">
        <v>444</v>
      </c>
      <c r="K145" s="70">
        <v>10</v>
      </c>
      <c r="L145" s="115" t="s">
        <v>4</v>
      </c>
      <c r="M145" s="18">
        <v>120</v>
      </c>
      <c r="N145" s="22" t="e">
        <f>S145</f>
        <v>#REF!</v>
      </c>
      <c r="O145" s="23" t="s">
        <v>5</v>
      </c>
      <c r="P145" s="24">
        <f>C147/55+E145/50+E146/35+K147/35</f>
        <v>1.0454545454545454</v>
      </c>
      <c r="Q145" s="25" t="s">
        <v>262</v>
      </c>
      <c r="R145" s="26" t="s">
        <v>339</v>
      </c>
      <c r="S145" s="27" t="e">
        <f>P144*15+P146*5+P147*15+P148*12</f>
        <v>#REF!</v>
      </c>
      <c r="T145" s="25" t="s">
        <v>264</v>
      </c>
      <c r="U145" s="28" t="e">
        <f>S145*4/S144</f>
        <v>#REF!</v>
      </c>
      <c r="W145" s="22">
        <f>AB146</f>
        <v>121.72727272727272</v>
      </c>
      <c r="X145" s="29" t="s">
        <v>0</v>
      </c>
      <c r="Y145" s="8">
        <f>M145/20+K145/55+K146/30+M146/20</f>
        <v>7.5151515151515147</v>
      </c>
      <c r="Z145" s="9" t="s">
        <v>262</v>
      </c>
      <c r="AA145" s="10" t="s">
        <v>306</v>
      </c>
      <c r="AB145" s="11">
        <f>Y151</f>
        <v>862.98030303030305</v>
      </c>
      <c r="AC145" s="9" t="s">
        <v>274</v>
      </c>
      <c r="AD145" s="12" t="s">
        <v>334</v>
      </c>
    </row>
    <row r="146" spans="1:30" ht="16.2" customHeight="1">
      <c r="A146" s="227"/>
      <c r="B146" s="146" t="s">
        <v>308</v>
      </c>
      <c r="C146" s="147">
        <v>0</v>
      </c>
      <c r="D146" s="33" t="s">
        <v>446</v>
      </c>
      <c r="E146" s="38">
        <v>0.5</v>
      </c>
      <c r="F146" s="33" t="s">
        <v>22</v>
      </c>
      <c r="G146" s="145">
        <v>5</v>
      </c>
      <c r="H146" s="13"/>
      <c r="I146" s="34"/>
      <c r="J146" s="54" t="s">
        <v>447</v>
      </c>
      <c r="K146" s="38">
        <v>10</v>
      </c>
      <c r="L146" s="21" t="s">
        <v>651</v>
      </c>
      <c r="M146" s="35">
        <v>20</v>
      </c>
      <c r="N146" s="36" t="s">
        <v>338</v>
      </c>
      <c r="O146" s="37" t="s">
        <v>318</v>
      </c>
      <c r="P146" s="24" t="e">
        <f>(C146+I145+#REF!+K146+K148)/100</f>
        <v>#REF!</v>
      </c>
      <c r="Q146" s="25" t="s">
        <v>262</v>
      </c>
      <c r="R146" s="26" t="s">
        <v>319</v>
      </c>
      <c r="S146" s="27">
        <f>P145*5+P148*4+P149*5</f>
        <v>17.727272727272727</v>
      </c>
      <c r="T146" s="25" t="s">
        <v>264</v>
      </c>
      <c r="U146" s="28" t="e">
        <f>S146*9/S144</f>
        <v>#REF!</v>
      </c>
      <c r="W146" s="36" t="s">
        <v>338</v>
      </c>
      <c r="X146" s="23" t="s">
        <v>5</v>
      </c>
      <c r="Y146" s="24">
        <f>C145/35+E145/40</f>
        <v>2.75</v>
      </c>
      <c r="Z146" s="25" t="s">
        <v>262</v>
      </c>
      <c r="AA146" s="26" t="s">
        <v>339</v>
      </c>
      <c r="AB146" s="27">
        <f>Y145*15+Y147*5+Y148*15+Y149*12</f>
        <v>121.72727272727272</v>
      </c>
      <c r="AC146" s="25" t="s">
        <v>264</v>
      </c>
      <c r="AD146" s="28">
        <f>AB146*4/AB145</f>
        <v>0.56421808145485952</v>
      </c>
    </row>
    <row r="147" spans="1:30" ht="16.2" customHeight="1">
      <c r="A147" s="227"/>
      <c r="B147" s="13" t="s">
        <v>356</v>
      </c>
      <c r="C147" s="14">
        <v>8</v>
      </c>
      <c r="D147" s="47"/>
      <c r="E147" s="48"/>
      <c r="F147" s="33" t="s">
        <v>423</v>
      </c>
      <c r="G147" s="145">
        <v>5</v>
      </c>
      <c r="H147" s="39"/>
      <c r="I147" s="14"/>
      <c r="J147" s="87" t="s">
        <v>379</v>
      </c>
      <c r="K147" s="38">
        <v>10</v>
      </c>
      <c r="L147" s="13"/>
      <c r="M147" s="88"/>
      <c r="N147" s="22">
        <f>S146</f>
        <v>17.727272727272727</v>
      </c>
      <c r="O147" s="41" t="s">
        <v>261</v>
      </c>
      <c r="P147" s="42">
        <v>0</v>
      </c>
      <c r="Q147" s="25" t="s">
        <v>262</v>
      </c>
      <c r="R147" s="26" t="s">
        <v>263</v>
      </c>
      <c r="S147" s="27" t="e">
        <f>P144*2+P145*7+P146*1+P148*8</f>
        <v>#REF!</v>
      </c>
      <c r="T147" s="25" t="s">
        <v>264</v>
      </c>
      <c r="U147" s="28" t="e">
        <f>S147*4/S144</f>
        <v>#REF!</v>
      </c>
      <c r="W147" s="22">
        <f>AB147</f>
        <v>25.75</v>
      </c>
      <c r="X147" s="37" t="s">
        <v>318</v>
      </c>
      <c r="Y147" s="24">
        <f>(C148+G145+G146+G147+G148+I145+K147)/100</f>
        <v>1.8</v>
      </c>
      <c r="Z147" s="25" t="s">
        <v>262</v>
      </c>
      <c r="AA147" s="26" t="s">
        <v>319</v>
      </c>
      <c r="AB147" s="27">
        <f>Y146*5+Y149*4+Y150*5</f>
        <v>25.75</v>
      </c>
      <c r="AC147" s="25" t="s">
        <v>264</v>
      </c>
      <c r="AD147" s="28">
        <f>AB147*9/AB145</f>
        <v>0.26854610607707258</v>
      </c>
    </row>
    <row r="148" spans="1:30" ht="16.2" customHeight="1">
      <c r="A148" s="227"/>
      <c r="B148" s="13" t="s">
        <v>270</v>
      </c>
      <c r="C148" s="86">
        <v>10</v>
      </c>
      <c r="D148" s="33"/>
      <c r="E148" s="48"/>
      <c r="F148" s="47" t="s">
        <v>343</v>
      </c>
      <c r="G148" s="145">
        <v>10</v>
      </c>
      <c r="H148" s="39"/>
      <c r="I148" s="14"/>
      <c r="J148" s="54"/>
      <c r="K148" s="38"/>
      <c r="L148" s="33"/>
      <c r="M148" s="64"/>
      <c r="N148" s="36" t="s">
        <v>260</v>
      </c>
      <c r="O148" s="49" t="s">
        <v>9</v>
      </c>
      <c r="P148" s="42">
        <v>0</v>
      </c>
      <c r="Q148" s="25" t="s">
        <v>262</v>
      </c>
      <c r="R148" s="50"/>
      <c r="S148" s="50"/>
      <c r="T148" s="50"/>
      <c r="U148" s="51" t="e">
        <f>SUM(U145:U147)</f>
        <v>#REF!</v>
      </c>
      <c r="W148" s="36" t="s">
        <v>260</v>
      </c>
      <c r="X148" s="49" t="s">
        <v>261</v>
      </c>
      <c r="Y148" s="42">
        <v>0</v>
      </c>
      <c r="Z148" s="25" t="s">
        <v>262</v>
      </c>
      <c r="AA148" s="26" t="s">
        <v>263</v>
      </c>
      <c r="AB148" s="27">
        <f>Y145*2+Y146*7+Y147*1+Y149*8</f>
        <v>36.080303030303028</v>
      </c>
      <c r="AC148" s="25" t="s">
        <v>264</v>
      </c>
      <c r="AD148" s="28">
        <f>AB148*4/AB145</f>
        <v>0.16723581246806785</v>
      </c>
    </row>
    <row r="149" spans="1:30" ht="16.2" customHeight="1">
      <c r="A149" s="227" t="s">
        <v>267</v>
      </c>
      <c r="B149" s="13"/>
      <c r="C149" s="148"/>
      <c r="F149" s="47"/>
      <c r="G149" s="145"/>
      <c r="H149" s="39"/>
      <c r="I149" s="14"/>
      <c r="J149" s="89"/>
      <c r="K149" s="48"/>
      <c r="L149" s="33"/>
      <c r="M149" s="64"/>
      <c r="N149" s="22" t="e">
        <f>S147</f>
        <v>#REF!</v>
      </c>
      <c r="O149" s="55" t="s">
        <v>269</v>
      </c>
      <c r="P149" s="42">
        <v>2.5</v>
      </c>
      <c r="Q149" s="25" t="s">
        <v>262</v>
      </c>
      <c r="R149" s="56"/>
      <c r="S149" s="56"/>
      <c r="T149" s="56"/>
      <c r="U149" s="57"/>
      <c r="W149" s="22">
        <f>AB148</f>
        <v>36.080303030303028</v>
      </c>
      <c r="X149" s="49" t="s">
        <v>9</v>
      </c>
      <c r="Y149" s="42">
        <v>0</v>
      </c>
      <c r="Z149" s="25" t="s">
        <v>262</v>
      </c>
      <c r="AA149" s="50"/>
      <c r="AB149" s="50"/>
      <c r="AC149" s="50"/>
      <c r="AD149" s="51">
        <f>SUM(AD146:AD148)</f>
        <v>0.99999999999999989</v>
      </c>
    </row>
    <row r="150" spans="1:30" ht="16.2" customHeight="1" thickBot="1">
      <c r="A150" s="227"/>
      <c r="B150" s="33"/>
      <c r="C150" s="38"/>
      <c r="D150" s="47"/>
      <c r="E150" s="48"/>
      <c r="F150" s="47"/>
      <c r="G150" s="48"/>
      <c r="H150" s="39"/>
      <c r="I150" s="14"/>
      <c r="J150" s="149"/>
      <c r="K150" s="142"/>
      <c r="L150" s="33"/>
      <c r="M150" s="64"/>
      <c r="N150" s="36" t="s">
        <v>272</v>
      </c>
      <c r="O150" s="59" t="s">
        <v>273</v>
      </c>
      <c r="P150" s="60" t="e">
        <f>P144*68+P145*73+P146*24+P147*60+P148*112+P149*45</f>
        <v>#REF!</v>
      </c>
      <c r="Q150" s="61" t="s">
        <v>274</v>
      </c>
      <c r="R150" s="62"/>
      <c r="S150" s="62"/>
      <c r="T150" s="62"/>
      <c r="U150" s="63"/>
      <c r="W150" s="36" t="s">
        <v>272</v>
      </c>
      <c r="X150" s="55" t="s">
        <v>269</v>
      </c>
      <c r="Y150" s="42">
        <v>2.4</v>
      </c>
      <c r="Z150" s="25" t="s">
        <v>262</v>
      </c>
      <c r="AA150" s="56"/>
      <c r="AB150" s="56"/>
      <c r="AC150" s="56"/>
      <c r="AD150" s="57"/>
    </row>
    <row r="151" spans="1:30" ht="16.2" customHeight="1" thickBot="1">
      <c r="A151" s="228"/>
      <c r="B151" s="223" t="s">
        <v>194</v>
      </c>
      <c r="C151" s="224"/>
      <c r="D151" s="234" t="s">
        <v>591</v>
      </c>
      <c r="E151" s="235"/>
      <c r="F151" s="223" t="s">
        <v>196</v>
      </c>
      <c r="G151" s="224"/>
      <c r="H151" s="223" t="s">
        <v>197</v>
      </c>
      <c r="I151" s="224"/>
      <c r="J151" s="223" t="s">
        <v>196</v>
      </c>
      <c r="K151" s="224"/>
      <c r="L151" s="223" t="s">
        <v>198</v>
      </c>
      <c r="M151" s="224"/>
      <c r="N151" s="65" t="e">
        <f>P150</f>
        <v>#REF!</v>
      </c>
      <c r="O151" s="66"/>
      <c r="P151" s="67"/>
      <c r="Q151" s="67"/>
      <c r="R151" s="67"/>
      <c r="S151" s="67"/>
      <c r="T151" s="67"/>
      <c r="U151" s="68"/>
      <c r="W151" s="65">
        <f>Y151</f>
        <v>862.98030303030305</v>
      </c>
      <c r="X151" s="59" t="s">
        <v>273</v>
      </c>
      <c r="Y151" s="60">
        <f>Y145*68+Y146*73+Y147*24+Y148*60+Y149*112+Y150*45</f>
        <v>862.98030303030305</v>
      </c>
      <c r="Z151" s="61" t="s">
        <v>274</v>
      </c>
      <c r="AA151" s="62"/>
      <c r="AB151" s="62"/>
      <c r="AC151" s="62"/>
      <c r="AD151" s="63"/>
    </row>
    <row r="152" spans="1:30" ht="16.2" customHeight="1" thickBot="1">
      <c r="A152" s="215">
        <f>A144+1</f>
        <v>44089</v>
      </c>
      <c r="B152" s="219" t="s">
        <v>449</v>
      </c>
      <c r="C152" s="220"/>
      <c r="D152" s="219" t="s">
        <v>450</v>
      </c>
      <c r="E152" s="220"/>
      <c r="F152" s="219" t="s">
        <v>451</v>
      </c>
      <c r="G152" s="220"/>
      <c r="H152" s="217" t="s">
        <v>185</v>
      </c>
      <c r="I152" s="226"/>
      <c r="J152" s="217" t="s">
        <v>452</v>
      </c>
      <c r="K152" s="218"/>
      <c r="L152" s="221" t="s">
        <v>453</v>
      </c>
      <c r="M152" s="222"/>
      <c r="N152" s="6" t="s">
        <v>301</v>
      </c>
      <c r="O152" s="205" t="s">
        <v>302</v>
      </c>
      <c r="P152" s="206"/>
      <c r="Q152" s="207"/>
      <c r="R152" s="208" t="s">
        <v>303</v>
      </c>
      <c r="S152" s="209"/>
      <c r="T152" s="209"/>
      <c r="U152" s="210"/>
      <c r="W152" s="6" t="s">
        <v>301</v>
      </c>
      <c r="X152" s="196" t="s">
        <v>302</v>
      </c>
      <c r="Y152" s="197"/>
      <c r="Z152" s="198"/>
      <c r="AA152" s="199" t="s">
        <v>303</v>
      </c>
      <c r="AB152" s="200"/>
      <c r="AC152" s="200"/>
      <c r="AD152" s="201"/>
    </row>
    <row r="153" spans="1:30" ht="16.2" customHeight="1">
      <c r="A153" s="227"/>
      <c r="B153" s="33" t="s">
        <v>433</v>
      </c>
      <c r="C153" s="38">
        <v>150</v>
      </c>
      <c r="D153" s="33" t="s">
        <v>428</v>
      </c>
      <c r="E153" s="114">
        <v>40</v>
      </c>
      <c r="F153" s="132" t="s">
        <v>420</v>
      </c>
      <c r="G153" s="150">
        <v>30</v>
      </c>
      <c r="H153" s="106" t="s">
        <v>417</v>
      </c>
      <c r="I153" s="20">
        <v>100</v>
      </c>
      <c r="J153" s="17" t="s">
        <v>332</v>
      </c>
      <c r="K153" s="18">
        <v>20</v>
      </c>
      <c r="L153" s="21" t="s">
        <v>333</v>
      </c>
      <c r="M153" s="18">
        <v>110</v>
      </c>
      <c r="N153" s="22" t="e">
        <f>S154</f>
        <v>#REF!</v>
      </c>
      <c r="O153" s="7" t="s">
        <v>0</v>
      </c>
      <c r="P153" s="42">
        <f>G153/20+M153/20+M154/55</f>
        <v>7.7272727272727275</v>
      </c>
      <c r="Q153" s="9" t="s">
        <v>262</v>
      </c>
      <c r="R153" s="74" t="s">
        <v>306</v>
      </c>
      <c r="S153" s="75" t="e">
        <f>P159</f>
        <v>#REF!</v>
      </c>
      <c r="T153" s="76" t="s">
        <v>274</v>
      </c>
      <c r="U153" s="77" t="s">
        <v>334</v>
      </c>
      <c r="W153" s="22">
        <f>AB154</f>
        <v>127.12941176470588</v>
      </c>
      <c r="X153" s="7" t="s">
        <v>0</v>
      </c>
      <c r="Y153" s="8">
        <f>M153/20+M154/20+K153/85</f>
        <v>7.7352941176470589</v>
      </c>
      <c r="Z153" s="9" t="s">
        <v>262</v>
      </c>
      <c r="AA153" s="74" t="s">
        <v>306</v>
      </c>
      <c r="AB153" s="75">
        <f>Y159</f>
        <v>886.03909090909087</v>
      </c>
      <c r="AC153" s="76" t="s">
        <v>274</v>
      </c>
      <c r="AD153" s="77" t="s">
        <v>334</v>
      </c>
    </row>
    <row r="154" spans="1:30" ht="16.2" customHeight="1">
      <c r="A154" s="227"/>
      <c r="B154" s="81" t="s">
        <v>308</v>
      </c>
      <c r="C154" s="82">
        <v>0.4</v>
      </c>
      <c r="D154" s="33" t="s">
        <v>265</v>
      </c>
      <c r="E154" s="35">
        <v>5</v>
      </c>
      <c r="F154" s="33" t="s">
        <v>455</v>
      </c>
      <c r="G154" s="38">
        <v>15</v>
      </c>
      <c r="H154" s="13"/>
      <c r="I154" s="34"/>
      <c r="J154" s="33" t="s">
        <v>265</v>
      </c>
      <c r="K154" s="35">
        <v>5</v>
      </c>
      <c r="L154" s="21" t="s">
        <v>398</v>
      </c>
      <c r="M154" s="35">
        <v>40</v>
      </c>
      <c r="N154" s="36" t="s">
        <v>338</v>
      </c>
      <c r="O154" s="23" t="s">
        <v>5</v>
      </c>
      <c r="P154" s="24" t="e">
        <f>C153/35+G156/35+E156/55+#REF!*0.65/35</f>
        <v>#REF!</v>
      </c>
      <c r="Q154" s="25" t="s">
        <v>262</v>
      </c>
      <c r="R154" s="26" t="s">
        <v>339</v>
      </c>
      <c r="S154" s="27" t="e">
        <f>P153*15+P155*5+P156*15+P157*12</f>
        <v>#REF!</v>
      </c>
      <c r="T154" s="25" t="s">
        <v>264</v>
      </c>
      <c r="U154" s="28" t="e">
        <f>S154*4/S153</f>
        <v>#REF!</v>
      </c>
      <c r="W154" s="36" t="s">
        <v>338</v>
      </c>
      <c r="X154" s="23" t="s">
        <v>5</v>
      </c>
      <c r="Y154" s="24">
        <f>C153*0.6/40+E156/50+K155/55</f>
        <v>2.7227272727272727</v>
      </c>
      <c r="Z154" s="25" t="s">
        <v>262</v>
      </c>
      <c r="AA154" s="26" t="s">
        <v>339</v>
      </c>
      <c r="AB154" s="27">
        <f>Y153*15+Y155*5+Y156*15+Y157*12</f>
        <v>127.12941176470588</v>
      </c>
      <c r="AC154" s="25" t="s">
        <v>264</v>
      </c>
      <c r="AD154" s="28">
        <f>AB154*4/AB153</f>
        <v>0.57392236107447125</v>
      </c>
    </row>
    <row r="155" spans="1:30" ht="16.2" customHeight="1">
      <c r="A155" s="227"/>
      <c r="B155" s="33" t="s">
        <v>265</v>
      </c>
      <c r="C155" s="38">
        <v>10</v>
      </c>
      <c r="D155" s="33" t="s">
        <v>430</v>
      </c>
      <c r="E155" s="35">
        <v>5</v>
      </c>
      <c r="F155" s="33" t="s">
        <v>265</v>
      </c>
      <c r="G155" s="38">
        <v>3</v>
      </c>
      <c r="H155" s="39"/>
      <c r="I155" s="14"/>
      <c r="J155" s="21" t="s">
        <v>441</v>
      </c>
      <c r="K155" s="35">
        <v>15</v>
      </c>
      <c r="L155" s="84"/>
      <c r="M155" s="85"/>
      <c r="N155" s="22" t="e">
        <f>S155</f>
        <v>#REF!</v>
      </c>
      <c r="O155" s="37" t="s">
        <v>318</v>
      </c>
      <c r="P155" s="24" t="e">
        <f>(C154+G154+G155+E153+E154+E155+#REF!+I153+#REF!)/100</f>
        <v>#REF!</v>
      </c>
      <c r="Q155" s="25" t="s">
        <v>262</v>
      </c>
      <c r="R155" s="26" t="s">
        <v>319</v>
      </c>
      <c r="S155" s="27" t="e">
        <f>P154*5+P157*4+P158*5</f>
        <v>#REF!</v>
      </c>
      <c r="T155" s="25" t="s">
        <v>264</v>
      </c>
      <c r="U155" s="28" t="e">
        <f>S155*9/S153</f>
        <v>#REF!</v>
      </c>
      <c r="W155" s="22">
        <f>AB155</f>
        <v>25.613636363636363</v>
      </c>
      <c r="X155" s="37" t="s">
        <v>318</v>
      </c>
      <c r="Y155" s="24">
        <f>(C155+E153+E154+E155+E157+G153+G154+G156+G155+G157+I153+K154)/100</f>
        <v>2.2200000000000002</v>
      </c>
      <c r="Z155" s="25" t="s">
        <v>262</v>
      </c>
      <c r="AA155" s="26" t="s">
        <v>319</v>
      </c>
      <c r="AB155" s="27">
        <f>Y154*5+Y157*4+Y158*5</f>
        <v>25.613636363636363</v>
      </c>
      <c r="AC155" s="25" t="s">
        <v>264</v>
      </c>
      <c r="AD155" s="28">
        <f>AB155*9/AB153</f>
        <v>0.26017218612353449</v>
      </c>
    </row>
    <row r="156" spans="1:30" ht="16.2" customHeight="1">
      <c r="A156" s="227"/>
      <c r="B156" s="31" t="s">
        <v>346</v>
      </c>
      <c r="C156" s="32">
        <v>1</v>
      </c>
      <c r="D156" s="13" t="s">
        <v>456</v>
      </c>
      <c r="E156" s="35">
        <v>10</v>
      </c>
      <c r="F156" s="33" t="s">
        <v>457</v>
      </c>
      <c r="G156" s="38">
        <v>1</v>
      </c>
      <c r="H156" s="39"/>
      <c r="I156" s="14"/>
      <c r="J156" s="47"/>
      <c r="K156" s="48"/>
      <c r="L156" s="84"/>
      <c r="M156" s="85"/>
      <c r="N156" s="36" t="s">
        <v>260</v>
      </c>
      <c r="O156" s="41" t="s">
        <v>261</v>
      </c>
      <c r="P156" s="42">
        <v>0</v>
      </c>
      <c r="Q156" s="25" t="s">
        <v>262</v>
      </c>
      <c r="R156" s="26" t="s">
        <v>263</v>
      </c>
      <c r="S156" s="27" t="e">
        <f>P153*2+P154*7+P155*1+P157*8</f>
        <v>#REF!</v>
      </c>
      <c r="T156" s="25" t="s">
        <v>264</v>
      </c>
      <c r="U156" s="28" t="e">
        <f>S156*4/S153</f>
        <v>#REF!</v>
      </c>
      <c r="W156" s="36" t="s">
        <v>260</v>
      </c>
      <c r="X156" s="49" t="s">
        <v>261</v>
      </c>
      <c r="Y156" s="42">
        <v>0</v>
      </c>
      <c r="Z156" s="25" t="s">
        <v>262</v>
      </c>
      <c r="AA156" s="26" t="s">
        <v>263</v>
      </c>
      <c r="AB156" s="27">
        <f>Y153*2+Y154*7+Y155*1+Y157*8</f>
        <v>36.749679144385027</v>
      </c>
      <c r="AC156" s="25" t="s">
        <v>264</v>
      </c>
      <c r="AD156" s="28">
        <f>AB156*4/AB153</f>
        <v>0.16590545280199429</v>
      </c>
    </row>
    <row r="157" spans="1:30" ht="16.2" customHeight="1">
      <c r="A157" s="227" t="s">
        <v>401</v>
      </c>
      <c r="B157" s="31"/>
      <c r="C157" s="32"/>
      <c r="D157" s="54" t="s">
        <v>344</v>
      </c>
      <c r="E157" s="35">
        <v>3</v>
      </c>
      <c r="F157" s="33" t="s">
        <v>342</v>
      </c>
      <c r="G157" s="151">
        <v>5</v>
      </c>
      <c r="H157" s="39"/>
      <c r="I157" s="14"/>
      <c r="J157" s="39"/>
      <c r="K157" s="35"/>
      <c r="L157" s="84"/>
      <c r="M157" s="85"/>
      <c r="N157" s="22" t="e">
        <f>S156</f>
        <v>#REF!</v>
      </c>
      <c r="O157" s="49" t="s">
        <v>9</v>
      </c>
      <c r="P157" s="42">
        <v>0</v>
      </c>
      <c r="Q157" s="25" t="s">
        <v>262</v>
      </c>
      <c r="R157" s="50"/>
      <c r="S157" s="50"/>
      <c r="T157" s="50"/>
      <c r="U157" s="51" t="e">
        <f>SUM(U154:U156)</f>
        <v>#REF!</v>
      </c>
      <c r="W157" s="22">
        <f>AB156</f>
        <v>36.749679144385027</v>
      </c>
      <c r="X157" s="49" t="s">
        <v>9</v>
      </c>
      <c r="Y157" s="42">
        <v>0</v>
      </c>
      <c r="Z157" s="25" t="s">
        <v>262</v>
      </c>
      <c r="AA157" s="50"/>
      <c r="AB157" s="50"/>
      <c r="AC157" s="50"/>
      <c r="AD157" s="51">
        <f>SUM(AD154:AD156)</f>
        <v>1</v>
      </c>
    </row>
    <row r="158" spans="1:30" ht="16.2" customHeight="1">
      <c r="A158" s="227"/>
      <c r="B158" s="31"/>
      <c r="C158" s="32"/>
      <c r="D158" s="39"/>
      <c r="E158" s="14"/>
      <c r="F158" s="33"/>
      <c r="H158" s="39"/>
      <c r="I158" s="14"/>
      <c r="J158" s="21"/>
      <c r="K158" s="35"/>
      <c r="L158" s="84"/>
      <c r="M158" s="85"/>
      <c r="N158" s="36" t="s">
        <v>272</v>
      </c>
      <c r="O158" s="55" t="s">
        <v>269</v>
      </c>
      <c r="P158" s="42">
        <v>2.5</v>
      </c>
      <c r="Q158" s="25" t="s">
        <v>262</v>
      </c>
      <c r="R158" s="56"/>
      <c r="S158" s="56"/>
      <c r="T158" s="56"/>
      <c r="U158" s="57"/>
      <c r="W158" s="36" t="s">
        <v>272</v>
      </c>
      <c r="X158" s="55" t="s">
        <v>269</v>
      </c>
      <c r="Y158" s="42">
        <v>2.4</v>
      </c>
      <c r="Z158" s="25" t="s">
        <v>262</v>
      </c>
      <c r="AA158" s="56"/>
      <c r="AB158" s="56"/>
      <c r="AC158" s="56"/>
      <c r="AD158" s="57"/>
    </row>
    <row r="159" spans="1:30" ht="16.2" customHeight="1" thickBot="1">
      <c r="A159" s="228"/>
      <c r="B159" s="223" t="s">
        <v>195</v>
      </c>
      <c r="C159" s="224"/>
      <c r="D159" s="223" t="s">
        <v>196</v>
      </c>
      <c r="E159" s="224"/>
      <c r="F159" s="234" t="s">
        <v>195</v>
      </c>
      <c r="G159" s="235"/>
      <c r="H159" s="223" t="s">
        <v>197</v>
      </c>
      <c r="I159" s="224"/>
      <c r="J159" s="223" t="s">
        <v>196</v>
      </c>
      <c r="K159" s="224"/>
      <c r="L159" s="223" t="s">
        <v>198</v>
      </c>
      <c r="M159" s="224"/>
      <c r="N159" s="65" t="e">
        <f>P159</f>
        <v>#REF!</v>
      </c>
      <c r="O159" s="59" t="s">
        <v>273</v>
      </c>
      <c r="P159" s="60" t="e">
        <f>P153*68+P154*73+P155*24+P156*60+P157*112+P158*45</f>
        <v>#REF!</v>
      </c>
      <c r="Q159" s="61" t="s">
        <v>274</v>
      </c>
      <c r="R159" s="62"/>
      <c r="S159" s="62"/>
      <c r="T159" s="62"/>
      <c r="U159" s="63"/>
      <c r="W159" s="65">
        <f>Y159</f>
        <v>886.03909090909087</v>
      </c>
      <c r="X159" s="59" t="s">
        <v>273</v>
      </c>
      <c r="Y159" s="60">
        <f>Y153*68+Y154*73+Y155*24+Y156*60+Y157*112+Y158*45</f>
        <v>886.03909090909087</v>
      </c>
      <c r="Z159" s="61" t="s">
        <v>274</v>
      </c>
      <c r="AA159" s="62"/>
      <c r="AB159" s="62"/>
      <c r="AC159" s="62"/>
      <c r="AD159" s="63"/>
    </row>
    <row r="160" spans="1:30" ht="16.2" customHeight="1" thickBot="1">
      <c r="A160" s="215">
        <f>A152+1</f>
        <v>44090</v>
      </c>
      <c r="B160" s="219" t="s">
        <v>454</v>
      </c>
      <c r="C160" s="220"/>
      <c r="D160" s="242" t="s">
        <v>609</v>
      </c>
      <c r="E160" s="222"/>
      <c r="F160" s="242" t="s">
        <v>612</v>
      </c>
      <c r="G160" s="222"/>
      <c r="H160" s="217" t="s">
        <v>185</v>
      </c>
      <c r="I160" s="226"/>
      <c r="J160" s="217" t="s">
        <v>614</v>
      </c>
      <c r="K160" s="218"/>
      <c r="L160" s="243" t="s">
        <v>608</v>
      </c>
      <c r="M160" s="244"/>
      <c r="N160" s="6" t="s">
        <v>301</v>
      </c>
      <c r="O160" s="205" t="s">
        <v>302</v>
      </c>
      <c r="P160" s="206"/>
      <c r="Q160" s="207"/>
      <c r="R160" s="208" t="s">
        <v>303</v>
      </c>
      <c r="S160" s="209"/>
      <c r="T160" s="209"/>
      <c r="U160" s="210"/>
      <c r="W160" s="6" t="s">
        <v>301</v>
      </c>
      <c r="X160" s="196" t="s">
        <v>302</v>
      </c>
      <c r="Y160" s="197"/>
      <c r="Z160" s="198"/>
      <c r="AA160" s="199" t="s">
        <v>303</v>
      </c>
      <c r="AB160" s="200"/>
      <c r="AC160" s="200"/>
      <c r="AD160" s="201"/>
    </row>
    <row r="161" spans="1:30" ht="16.2" customHeight="1">
      <c r="A161" s="227"/>
      <c r="B161" s="69" t="s">
        <v>414</v>
      </c>
      <c r="C161" s="70">
        <v>150</v>
      </c>
      <c r="D161" s="72" t="s">
        <v>610</v>
      </c>
      <c r="E161" s="107">
        <v>30</v>
      </c>
      <c r="F161" s="72" t="s">
        <v>612</v>
      </c>
      <c r="G161" s="107">
        <v>30</v>
      </c>
      <c r="H161" s="152" t="s">
        <v>331</v>
      </c>
      <c r="I161" s="20">
        <v>100</v>
      </c>
      <c r="J161" s="17" t="s">
        <v>615</v>
      </c>
      <c r="K161" s="18">
        <v>15</v>
      </c>
      <c r="L161" s="123" t="s">
        <v>488</v>
      </c>
      <c r="M161" s="162">
        <v>120</v>
      </c>
      <c r="N161" s="22" t="e">
        <f>S162</f>
        <v>#REF!</v>
      </c>
      <c r="O161" s="7" t="s">
        <v>0</v>
      </c>
      <c r="P161" s="42">
        <f>K163/35+M161/20</f>
        <v>6</v>
      </c>
      <c r="Q161" s="9" t="s">
        <v>262</v>
      </c>
      <c r="R161" s="74" t="s">
        <v>306</v>
      </c>
      <c r="S161" s="75" t="e">
        <f>P167</f>
        <v>#REF!</v>
      </c>
      <c r="T161" s="76" t="s">
        <v>274</v>
      </c>
      <c r="U161" s="93"/>
      <c r="W161" s="22">
        <f>AB162</f>
        <v>121.45</v>
      </c>
      <c r="X161" s="7" t="s">
        <v>0</v>
      </c>
      <c r="Y161" s="8">
        <f>M161/20+K161/30+G161/30</f>
        <v>7.5</v>
      </c>
      <c r="Z161" s="9" t="s">
        <v>262</v>
      </c>
      <c r="AA161" s="74" t="s">
        <v>306</v>
      </c>
      <c r="AB161" s="75">
        <f>Y167</f>
        <v>869.94857142857154</v>
      </c>
      <c r="AC161" s="76" t="s">
        <v>274</v>
      </c>
      <c r="AD161" s="93"/>
    </row>
    <row r="162" spans="1:30" ht="16.2" customHeight="1">
      <c r="A162" s="227"/>
      <c r="B162" s="81" t="s">
        <v>308</v>
      </c>
      <c r="C162" s="116">
        <v>0.4</v>
      </c>
      <c r="D162" s="79" t="s">
        <v>611</v>
      </c>
      <c r="E162" s="111">
        <v>15</v>
      </c>
      <c r="F162" s="79"/>
      <c r="G162" s="111"/>
      <c r="H162" s="87"/>
      <c r="I162" s="116"/>
      <c r="J162" s="13" t="s">
        <v>602</v>
      </c>
      <c r="K162" s="14">
        <v>5</v>
      </c>
      <c r="L162" s="99" t="s">
        <v>35</v>
      </c>
      <c r="M162" s="160">
        <v>15</v>
      </c>
      <c r="N162" s="36" t="s">
        <v>338</v>
      </c>
      <c r="O162" s="23" t="s">
        <v>5</v>
      </c>
      <c r="P162" s="24">
        <f>C161*0.68/40+G178/35+G179/35+E170/15+K164/60</f>
        <v>4.1214285714285719</v>
      </c>
      <c r="Q162" s="25" t="s">
        <v>262</v>
      </c>
      <c r="R162" s="26" t="s">
        <v>339</v>
      </c>
      <c r="S162" s="27" t="e">
        <f>P161*15+P163*5+P164*15+P165*12</f>
        <v>#REF!</v>
      </c>
      <c r="T162" s="25" t="s">
        <v>264</v>
      </c>
      <c r="U162" s="28" t="e">
        <f>S162*4/S161</f>
        <v>#REF!</v>
      </c>
      <c r="W162" s="36" t="s">
        <v>338</v>
      </c>
      <c r="X162" s="23" t="s">
        <v>5</v>
      </c>
      <c r="Y162" s="24">
        <f>C161*0.6/40+E163/40+M163/35+M166/50</f>
        <v>2.862857142857143</v>
      </c>
      <c r="Z162" s="25" t="s">
        <v>262</v>
      </c>
      <c r="AA162" s="26" t="s">
        <v>339</v>
      </c>
      <c r="AB162" s="27">
        <f>Y161*15+Y163*5+Y164*15+Y165*12</f>
        <v>121.45</v>
      </c>
      <c r="AC162" s="25" t="s">
        <v>264</v>
      </c>
      <c r="AD162" s="28">
        <f>AB162*4/AB161</f>
        <v>0.55842381487247184</v>
      </c>
    </row>
    <row r="163" spans="1:30" ht="16.2" customHeight="1">
      <c r="A163" s="227"/>
      <c r="B163" s="33"/>
      <c r="C163" s="38"/>
      <c r="D163" s="79" t="s">
        <v>459</v>
      </c>
      <c r="E163" s="111">
        <v>10</v>
      </c>
      <c r="F163" s="79"/>
      <c r="G163" s="111"/>
      <c r="H163" s="87"/>
      <c r="I163" s="14"/>
      <c r="J163" s="154"/>
      <c r="K163" s="116"/>
      <c r="L163" s="164" t="s">
        <v>298</v>
      </c>
      <c r="M163" s="97">
        <v>12</v>
      </c>
      <c r="N163" s="22">
        <f>S163</f>
        <v>33.107142857142861</v>
      </c>
      <c r="O163" s="37" t="s">
        <v>318</v>
      </c>
      <c r="P163" s="24" t="e">
        <f>(G177+E169+#REF!+I161+K161+K162)/100</f>
        <v>#REF!</v>
      </c>
      <c r="Q163" s="25" t="s">
        <v>262</v>
      </c>
      <c r="R163" s="26" t="s">
        <v>319</v>
      </c>
      <c r="S163" s="27">
        <f>P162*5+P165*4+P166*5</f>
        <v>33.107142857142861</v>
      </c>
      <c r="T163" s="25" t="s">
        <v>264</v>
      </c>
      <c r="U163" s="28" t="e">
        <f>S163*9/S161</f>
        <v>#REF!</v>
      </c>
      <c r="W163" s="22">
        <f>AB163</f>
        <v>26.314285714285717</v>
      </c>
      <c r="X163" s="37" t="s">
        <v>318</v>
      </c>
      <c r="Y163" s="24">
        <f>(E161+E162+E164+E165+I161+M162+M164+M165)/100</f>
        <v>1.79</v>
      </c>
      <c r="Z163" s="25" t="s">
        <v>262</v>
      </c>
      <c r="AA163" s="26" t="s">
        <v>319</v>
      </c>
      <c r="AB163" s="27">
        <f>Y162*5+Y165*4+Y166*5</f>
        <v>26.314285714285717</v>
      </c>
      <c r="AC163" s="25" t="s">
        <v>264</v>
      </c>
      <c r="AD163" s="28">
        <f>AB163*9/AB161</f>
        <v>0.27223284135022757</v>
      </c>
    </row>
    <row r="164" spans="1:30" ht="16.2" customHeight="1">
      <c r="A164" s="227"/>
      <c r="B164" s="33"/>
      <c r="C164" s="38"/>
      <c r="D164" s="79" t="s">
        <v>270</v>
      </c>
      <c r="E164" s="111">
        <v>5</v>
      </c>
      <c r="F164" s="79"/>
      <c r="G164" s="111"/>
      <c r="H164" s="87"/>
      <c r="I164" s="14"/>
      <c r="J164" s="13"/>
      <c r="K164" s="35"/>
      <c r="L164" s="159" t="s">
        <v>36</v>
      </c>
      <c r="M164" s="160">
        <v>8</v>
      </c>
      <c r="N164" s="36" t="s">
        <v>260</v>
      </c>
      <c r="O164" s="41" t="s">
        <v>261</v>
      </c>
      <c r="P164" s="42">
        <v>0</v>
      </c>
      <c r="Q164" s="25" t="s">
        <v>262</v>
      </c>
      <c r="R164" s="26" t="s">
        <v>263</v>
      </c>
      <c r="S164" s="27" t="e">
        <f>P161*2+P162*7+P163*1+P165*8</f>
        <v>#REF!</v>
      </c>
      <c r="T164" s="25" t="s">
        <v>264</v>
      </c>
      <c r="U164" s="28" t="e">
        <f>S164*4/S161</f>
        <v>#REF!</v>
      </c>
      <c r="W164" s="36" t="s">
        <v>260</v>
      </c>
      <c r="X164" s="49" t="s">
        <v>261</v>
      </c>
      <c r="Y164" s="42">
        <v>0</v>
      </c>
      <c r="Z164" s="25" t="s">
        <v>262</v>
      </c>
      <c r="AA164" s="26" t="s">
        <v>263</v>
      </c>
      <c r="AB164" s="27">
        <f>Y161*2+Y162*7+Y163*1+Y165*8</f>
        <v>36.83</v>
      </c>
      <c r="AC164" s="25" t="s">
        <v>264</v>
      </c>
      <c r="AD164" s="28">
        <f>AB164*4/AB161</f>
        <v>0.16934334377730043</v>
      </c>
    </row>
    <row r="165" spans="1:30" ht="16.2" customHeight="1">
      <c r="A165" s="227" t="s">
        <v>410</v>
      </c>
      <c r="B165" s="13"/>
      <c r="C165" s="14"/>
      <c r="D165" s="39" t="s">
        <v>460</v>
      </c>
      <c r="E165" s="88">
        <v>3</v>
      </c>
      <c r="F165" s="39"/>
      <c r="G165" s="88"/>
      <c r="H165" s="87"/>
      <c r="I165" s="14"/>
      <c r="J165" s="39"/>
      <c r="K165" s="35"/>
      <c r="L165" s="172" t="s">
        <v>423</v>
      </c>
      <c r="M165" s="160">
        <v>3</v>
      </c>
      <c r="N165" s="22" t="e">
        <f>S164</f>
        <v>#REF!</v>
      </c>
      <c r="O165" s="49" t="s">
        <v>9</v>
      </c>
      <c r="P165" s="42">
        <v>0</v>
      </c>
      <c r="Q165" s="25" t="s">
        <v>262</v>
      </c>
      <c r="R165" s="50"/>
      <c r="S165" s="50"/>
      <c r="T165" s="50"/>
      <c r="U165" s="51" t="e">
        <f>SUM(U162:U164)</f>
        <v>#REF!</v>
      </c>
      <c r="W165" s="22">
        <f>AB164</f>
        <v>36.83</v>
      </c>
      <c r="X165" s="49" t="s">
        <v>9</v>
      </c>
      <c r="Y165" s="42">
        <v>0</v>
      </c>
      <c r="Z165" s="25" t="s">
        <v>262</v>
      </c>
      <c r="AA165" s="50"/>
      <c r="AB165" s="50"/>
      <c r="AC165" s="50"/>
      <c r="AD165" s="51">
        <f>SUM(AD162:AD164)</f>
        <v>0.99999999999999978</v>
      </c>
    </row>
    <row r="166" spans="1:30" ht="16.2" customHeight="1">
      <c r="A166" s="227"/>
      <c r="B166" s="39"/>
      <c r="C166" s="14"/>
      <c r="D166" s="84"/>
      <c r="E166" s="88"/>
      <c r="F166" s="84"/>
      <c r="G166" s="88"/>
      <c r="H166" s="58"/>
      <c r="I166" s="64"/>
      <c r="J166" s="39"/>
      <c r="K166" s="14"/>
      <c r="L166" s="172" t="s">
        <v>448</v>
      </c>
      <c r="M166" s="160">
        <v>1</v>
      </c>
      <c r="N166" s="36" t="s">
        <v>272</v>
      </c>
      <c r="O166" s="55" t="s">
        <v>269</v>
      </c>
      <c r="P166" s="42">
        <v>2.5</v>
      </c>
      <c r="Q166" s="25" t="s">
        <v>262</v>
      </c>
      <c r="R166" s="56"/>
      <c r="S166" s="56"/>
      <c r="T166" s="56"/>
      <c r="U166" s="57"/>
      <c r="W166" s="36" t="s">
        <v>272</v>
      </c>
      <c r="X166" s="55" t="s">
        <v>269</v>
      </c>
      <c r="Y166" s="42">
        <v>2.4</v>
      </c>
      <c r="Z166" s="25" t="s">
        <v>262</v>
      </c>
      <c r="AA166" s="56"/>
      <c r="AB166" s="56"/>
      <c r="AC166" s="56"/>
      <c r="AD166" s="57"/>
    </row>
    <row r="167" spans="1:30" ht="16.2" customHeight="1" thickBot="1">
      <c r="A167" s="228"/>
      <c r="B167" s="223" t="s">
        <v>299</v>
      </c>
      <c r="C167" s="224"/>
      <c r="D167" s="223" t="s">
        <v>195</v>
      </c>
      <c r="E167" s="224"/>
      <c r="F167" s="223" t="s">
        <v>613</v>
      </c>
      <c r="G167" s="224"/>
      <c r="H167" s="241" t="s">
        <v>197</v>
      </c>
      <c r="I167" s="224"/>
      <c r="J167" s="223" t="s">
        <v>196</v>
      </c>
      <c r="K167" s="224"/>
      <c r="L167" s="245" t="s">
        <v>18</v>
      </c>
      <c r="M167" s="246"/>
      <c r="N167" s="65" t="e">
        <f>P167</f>
        <v>#REF!</v>
      </c>
      <c r="O167" s="59" t="s">
        <v>273</v>
      </c>
      <c r="P167" s="60" t="e">
        <f>P161*68+P162*73+P163*24+P164*60+P165*112+P166*45</f>
        <v>#REF!</v>
      </c>
      <c r="Q167" s="61" t="s">
        <v>274</v>
      </c>
      <c r="R167" s="62"/>
      <c r="S167" s="62"/>
      <c r="T167" s="62"/>
      <c r="U167" s="63"/>
      <c r="W167" s="65">
        <f>Y167</f>
        <v>869.94857142857154</v>
      </c>
      <c r="X167" s="59" t="s">
        <v>273</v>
      </c>
      <c r="Y167" s="60">
        <f>Y161*68+Y162*73+Y163*24+Y164*60+Y165*112+Y166*45</f>
        <v>869.94857142857154</v>
      </c>
      <c r="Z167" s="61" t="s">
        <v>274</v>
      </c>
      <c r="AA167" s="62"/>
      <c r="AB167" s="62"/>
      <c r="AC167" s="62"/>
      <c r="AD167" s="63"/>
    </row>
    <row r="168" spans="1:30" ht="16.2" customHeight="1" thickBot="1">
      <c r="A168" s="215">
        <f>A160+1</f>
        <v>44091</v>
      </c>
      <c r="B168" s="217" t="s">
        <v>461</v>
      </c>
      <c r="C168" s="218"/>
      <c r="D168" s="219" t="s">
        <v>462</v>
      </c>
      <c r="E168" s="220"/>
      <c r="F168" s="217" t="s">
        <v>463</v>
      </c>
      <c r="G168" s="218"/>
      <c r="H168" s="217" t="s">
        <v>185</v>
      </c>
      <c r="I168" s="226"/>
      <c r="J168" s="219" t="s">
        <v>464</v>
      </c>
      <c r="K168" s="220"/>
      <c r="L168" s="221" t="s">
        <v>187</v>
      </c>
      <c r="M168" s="222"/>
      <c r="N168" s="6" t="s">
        <v>301</v>
      </c>
      <c r="O168" s="205" t="s">
        <v>302</v>
      </c>
      <c r="P168" s="206"/>
      <c r="Q168" s="207"/>
      <c r="R168" s="208" t="s">
        <v>303</v>
      </c>
      <c r="S168" s="209"/>
      <c r="T168" s="209"/>
      <c r="U168" s="210"/>
      <c r="W168" s="6" t="s">
        <v>301</v>
      </c>
      <c r="X168" s="196" t="s">
        <v>302</v>
      </c>
      <c r="Y168" s="197"/>
      <c r="Z168" s="198"/>
      <c r="AA168" s="199" t="s">
        <v>303</v>
      </c>
      <c r="AB168" s="200"/>
      <c r="AC168" s="200"/>
      <c r="AD168" s="201"/>
    </row>
    <row r="169" spans="1:30" ht="16.2" customHeight="1">
      <c r="A169" s="227"/>
      <c r="B169" s="13" t="s">
        <v>465</v>
      </c>
      <c r="C169" s="35">
        <v>120</v>
      </c>
      <c r="D169" s="15" t="s">
        <v>336</v>
      </c>
      <c r="E169" s="114">
        <v>30</v>
      </c>
      <c r="F169" s="17" t="s">
        <v>466</v>
      </c>
      <c r="G169" s="18">
        <v>30</v>
      </c>
      <c r="H169" s="19" t="s">
        <v>467</v>
      </c>
      <c r="I169" s="121">
        <v>100</v>
      </c>
      <c r="J169" s="90" t="s">
        <v>430</v>
      </c>
      <c r="K169" s="70">
        <v>20</v>
      </c>
      <c r="L169" s="21" t="s">
        <v>333</v>
      </c>
      <c r="M169" s="18">
        <v>110</v>
      </c>
      <c r="N169" s="22" t="e">
        <f>S170</f>
        <v>#REF!</v>
      </c>
      <c r="O169" s="7" t="s">
        <v>0</v>
      </c>
      <c r="P169" s="42">
        <f>G164/35+M169/20</f>
        <v>5.5</v>
      </c>
      <c r="Q169" s="9" t="s">
        <v>262</v>
      </c>
      <c r="R169" s="74" t="s">
        <v>306</v>
      </c>
      <c r="S169" s="75" t="e">
        <f>P175</f>
        <v>#REF!</v>
      </c>
      <c r="T169" s="76" t="s">
        <v>274</v>
      </c>
      <c r="U169" s="77" t="s">
        <v>334</v>
      </c>
      <c r="W169" s="22">
        <f>AB170</f>
        <v>126.2</v>
      </c>
      <c r="X169" s="7" t="s">
        <v>0</v>
      </c>
      <c r="Y169" s="8">
        <f>M169/20+M170/20+E169/90</f>
        <v>7.833333333333333</v>
      </c>
      <c r="Z169" s="9" t="s">
        <v>262</v>
      </c>
      <c r="AA169" s="74" t="s">
        <v>306</v>
      </c>
      <c r="AB169" s="75">
        <f>Y175</f>
        <v>886.04452380952375</v>
      </c>
      <c r="AC169" s="76" t="s">
        <v>274</v>
      </c>
      <c r="AD169" s="77" t="s">
        <v>334</v>
      </c>
    </row>
    <row r="170" spans="1:30" ht="16.2" customHeight="1">
      <c r="A170" s="227"/>
      <c r="B170" s="118" t="s">
        <v>308</v>
      </c>
      <c r="C170" s="136">
        <v>0.4</v>
      </c>
      <c r="D170" s="33" t="s">
        <v>355</v>
      </c>
      <c r="E170" s="35">
        <v>15</v>
      </c>
      <c r="F170" s="33" t="s">
        <v>468</v>
      </c>
      <c r="G170" s="35">
        <v>15</v>
      </c>
      <c r="H170" s="118"/>
      <c r="I170" s="117"/>
      <c r="J170" s="54" t="s">
        <v>397</v>
      </c>
      <c r="K170" s="38">
        <v>10</v>
      </c>
      <c r="L170" s="21" t="s">
        <v>337</v>
      </c>
      <c r="M170" s="35">
        <v>40</v>
      </c>
      <c r="N170" s="36" t="s">
        <v>338</v>
      </c>
      <c r="O170" s="23" t="s">
        <v>5</v>
      </c>
      <c r="P170" s="24" t="e">
        <f>C169/35+#REF!/80+#REF!/35</f>
        <v>#REF!</v>
      </c>
      <c r="Q170" s="25" t="s">
        <v>262</v>
      </c>
      <c r="R170" s="26" t="s">
        <v>339</v>
      </c>
      <c r="S170" s="27" t="e">
        <f>P169*15+P171*5+P172*15+P173*12</f>
        <v>#REF!</v>
      </c>
      <c r="T170" s="25" t="s">
        <v>264</v>
      </c>
      <c r="U170" s="28" t="e">
        <f>S170*4/S169</f>
        <v>#REF!</v>
      </c>
      <c r="W170" s="36" t="s">
        <v>338</v>
      </c>
      <c r="X170" s="23" t="s">
        <v>5</v>
      </c>
      <c r="Y170" s="24">
        <f>C169*0.6/40+E170/35+G170/40+K170*0.65/35</f>
        <v>2.7892857142857146</v>
      </c>
      <c r="Z170" s="25" t="s">
        <v>262</v>
      </c>
      <c r="AA170" s="26" t="s">
        <v>339</v>
      </c>
      <c r="AB170" s="27">
        <f>Y169*15+Y171*5+Y172*15+Y173*12</f>
        <v>126.2</v>
      </c>
      <c r="AC170" s="25" t="s">
        <v>264</v>
      </c>
      <c r="AD170" s="28">
        <f>AB170*4/AB169</f>
        <v>0.56972306293325581</v>
      </c>
    </row>
    <row r="171" spans="1:30" ht="16.2" customHeight="1">
      <c r="A171" s="227"/>
      <c r="B171" s="33"/>
      <c r="C171" s="38"/>
      <c r="D171" s="13" t="s">
        <v>270</v>
      </c>
      <c r="E171" s="35">
        <v>10</v>
      </c>
      <c r="F171" s="13" t="s">
        <v>265</v>
      </c>
      <c r="G171" s="35">
        <v>5</v>
      </c>
      <c r="H171" s="33"/>
      <c r="I171" s="38"/>
      <c r="J171" s="154" t="s">
        <v>308</v>
      </c>
      <c r="K171" s="116">
        <v>0.35</v>
      </c>
      <c r="L171" s="84"/>
      <c r="M171" s="85"/>
      <c r="N171" s="22" t="e">
        <f>S171</f>
        <v>#REF!</v>
      </c>
      <c r="O171" s="37" t="s">
        <v>318</v>
      </c>
      <c r="P171" s="24" t="e">
        <f>(G161+G162+G163+E172+I169+K153+#REF!+K155)/100</f>
        <v>#REF!</v>
      </c>
      <c r="Q171" s="25" t="s">
        <v>262</v>
      </c>
      <c r="R171" s="26" t="s">
        <v>319</v>
      </c>
      <c r="S171" s="27" t="e">
        <f>P170*5+P173*4+P174*5</f>
        <v>#REF!</v>
      </c>
      <c r="T171" s="25" t="s">
        <v>264</v>
      </c>
      <c r="U171" s="28" t="e">
        <f>S171*9/S169</f>
        <v>#REF!</v>
      </c>
      <c r="W171" s="22">
        <f>AB171</f>
        <v>25.946428571428573</v>
      </c>
      <c r="X171" s="37" t="s">
        <v>318</v>
      </c>
      <c r="Y171" s="24">
        <f>(E171+E172+E173+G169+G171+I169+K169+K172)/100</f>
        <v>1.74</v>
      </c>
      <c r="Z171" s="25" t="s">
        <v>262</v>
      </c>
      <c r="AA171" s="26" t="s">
        <v>319</v>
      </c>
      <c r="AB171" s="27">
        <f>Y170*5+Y173*4+Y174*5</f>
        <v>25.946428571428573</v>
      </c>
      <c r="AC171" s="25" t="s">
        <v>264</v>
      </c>
      <c r="AD171" s="28">
        <f>AB171*9/AB169</f>
        <v>0.26355092872630559</v>
      </c>
    </row>
    <row r="172" spans="1:30" ht="16.2" customHeight="1">
      <c r="A172" s="227"/>
      <c r="B172" s="33"/>
      <c r="C172" s="38"/>
      <c r="D172" s="33" t="s">
        <v>265</v>
      </c>
      <c r="E172" s="38">
        <v>3</v>
      </c>
      <c r="F172" s="13" t="s">
        <v>469</v>
      </c>
      <c r="G172" s="14">
        <v>1</v>
      </c>
      <c r="H172" s="47"/>
      <c r="I172" s="48"/>
      <c r="J172" s="13" t="s">
        <v>265</v>
      </c>
      <c r="K172" s="14">
        <v>5</v>
      </c>
      <c r="L172" s="84"/>
      <c r="M172" s="85"/>
      <c r="N172" s="36" t="s">
        <v>260</v>
      </c>
      <c r="O172" s="41" t="s">
        <v>261</v>
      </c>
      <c r="P172" s="42">
        <v>0</v>
      </c>
      <c r="Q172" s="25" t="s">
        <v>262</v>
      </c>
      <c r="R172" s="26" t="s">
        <v>263</v>
      </c>
      <c r="S172" s="27" t="e">
        <f>P169*2+P170*7+P171*1+P173*8</f>
        <v>#REF!</v>
      </c>
      <c r="T172" s="25" t="s">
        <v>264</v>
      </c>
      <c r="U172" s="28" t="e">
        <f>S172*4/S169</f>
        <v>#REF!</v>
      </c>
      <c r="W172" s="36" t="s">
        <v>260</v>
      </c>
      <c r="X172" s="49" t="s">
        <v>261</v>
      </c>
      <c r="Y172" s="42">
        <v>0</v>
      </c>
      <c r="Z172" s="25" t="s">
        <v>262</v>
      </c>
      <c r="AA172" s="26" t="s">
        <v>263</v>
      </c>
      <c r="AB172" s="27">
        <f>Y169*2+Y170*7+Y171*1+Y173*8</f>
        <v>36.931666666666672</v>
      </c>
      <c r="AC172" s="25" t="s">
        <v>264</v>
      </c>
      <c r="AD172" s="28">
        <f>AB172*4/AB169</f>
        <v>0.16672600834043869</v>
      </c>
    </row>
    <row r="173" spans="1:30" ht="16.2" customHeight="1">
      <c r="A173" s="227" t="s">
        <v>345</v>
      </c>
      <c r="B173" s="31"/>
      <c r="C173" s="32"/>
      <c r="D173" s="13" t="s">
        <v>266</v>
      </c>
      <c r="E173" s="34">
        <v>1</v>
      </c>
      <c r="F173" s="13"/>
      <c r="G173" s="14"/>
      <c r="H173" s="31"/>
      <c r="I173" s="140"/>
      <c r="J173" s="89"/>
      <c r="K173" s="48"/>
      <c r="L173" s="84"/>
      <c r="M173" s="85"/>
      <c r="N173" s="22" t="e">
        <f>S172</f>
        <v>#REF!</v>
      </c>
      <c r="O173" s="49" t="s">
        <v>9</v>
      </c>
      <c r="P173" s="42">
        <v>0</v>
      </c>
      <c r="Q173" s="25" t="s">
        <v>262</v>
      </c>
      <c r="R173" s="50"/>
      <c r="S173" s="50"/>
      <c r="T173" s="50"/>
      <c r="U173" s="51" t="e">
        <f>SUM(U170:U172)</f>
        <v>#REF!</v>
      </c>
      <c r="W173" s="22">
        <f>AB172</f>
        <v>36.931666666666672</v>
      </c>
      <c r="X173" s="49" t="s">
        <v>9</v>
      </c>
      <c r="Y173" s="42">
        <v>0</v>
      </c>
      <c r="Z173" s="25" t="s">
        <v>262</v>
      </c>
      <c r="AA173" s="50"/>
      <c r="AB173" s="50"/>
      <c r="AC173" s="50"/>
      <c r="AD173" s="51">
        <f>SUM(AD170:AD172)</f>
        <v>1</v>
      </c>
    </row>
    <row r="174" spans="1:30" ht="16.2" customHeight="1">
      <c r="A174" s="227"/>
      <c r="B174" s="31"/>
      <c r="C174" s="32"/>
      <c r="D174" s="21"/>
      <c r="E174" s="35"/>
      <c r="F174" s="21"/>
      <c r="G174" s="35"/>
      <c r="H174" s="31"/>
      <c r="I174" s="140"/>
      <c r="J174" s="149"/>
      <c r="K174" s="142"/>
      <c r="L174" s="84"/>
      <c r="M174" s="85"/>
      <c r="N174" s="36" t="s">
        <v>272</v>
      </c>
      <c r="O174" s="55" t="s">
        <v>269</v>
      </c>
      <c r="P174" s="42">
        <v>2.5</v>
      </c>
      <c r="Q174" s="25" t="s">
        <v>262</v>
      </c>
      <c r="R174" s="56"/>
      <c r="S174" s="56"/>
      <c r="T174" s="56"/>
      <c r="U174" s="57"/>
      <c r="W174" s="36" t="s">
        <v>272</v>
      </c>
      <c r="X174" s="55" t="s">
        <v>269</v>
      </c>
      <c r="Y174" s="42">
        <v>2.4</v>
      </c>
      <c r="Z174" s="25" t="s">
        <v>262</v>
      </c>
      <c r="AA174" s="56"/>
      <c r="AB174" s="56"/>
      <c r="AC174" s="56"/>
      <c r="AD174" s="57"/>
    </row>
    <row r="175" spans="1:30" ht="16.2" customHeight="1" thickBot="1">
      <c r="A175" s="228"/>
      <c r="B175" s="223" t="s">
        <v>199</v>
      </c>
      <c r="C175" s="224"/>
      <c r="D175" s="223" t="s">
        <v>196</v>
      </c>
      <c r="E175" s="224"/>
      <c r="F175" s="223" t="s">
        <v>195</v>
      </c>
      <c r="G175" s="224"/>
      <c r="H175" s="223" t="s">
        <v>197</v>
      </c>
      <c r="I175" s="224"/>
      <c r="J175" s="223" t="s">
        <v>196</v>
      </c>
      <c r="K175" s="224"/>
      <c r="L175" s="223" t="s">
        <v>198</v>
      </c>
      <c r="M175" s="224"/>
      <c r="N175" s="65" t="e">
        <f>P175</f>
        <v>#REF!</v>
      </c>
      <c r="O175" s="59" t="s">
        <v>273</v>
      </c>
      <c r="P175" s="60" t="e">
        <f>P169*68+P170*73+P171*24+P172*60+P173*112+P174*45</f>
        <v>#REF!</v>
      </c>
      <c r="Q175" s="61" t="s">
        <v>274</v>
      </c>
      <c r="R175" s="62"/>
      <c r="S175" s="62"/>
      <c r="T175" s="62"/>
      <c r="U175" s="63"/>
      <c r="W175" s="65">
        <f>Y175</f>
        <v>886.04452380952375</v>
      </c>
      <c r="X175" s="59" t="s">
        <v>273</v>
      </c>
      <c r="Y175" s="60">
        <f>Y169*68+Y170*73+Y171*24+Y172*60+Y173*112+Y174*45</f>
        <v>886.04452380952375</v>
      </c>
      <c r="Z175" s="61" t="s">
        <v>274</v>
      </c>
      <c r="AA175" s="62"/>
      <c r="AB175" s="62"/>
      <c r="AC175" s="62"/>
      <c r="AD175" s="63"/>
    </row>
    <row r="176" spans="1:30" ht="16.2" customHeight="1" thickBot="1">
      <c r="A176" s="215">
        <f>A168+1</f>
        <v>44092</v>
      </c>
      <c r="B176" s="219" t="s">
        <v>616</v>
      </c>
      <c r="C176" s="220"/>
      <c r="D176" s="217" t="s">
        <v>470</v>
      </c>
      <c r="E176" s="218"/>
      <c r="F176" s="219" t="s">
        <v>649</v>
      </c>
      <c r="G176" s="220"/>
      <c r="H176" s="217" t="s">
        <v>185</v>
      </c>
      <c r="I176" s="226"/>
      <c r="J176" s="219" t="s">
        <v>471</v>
      </c>
      <c r="K176" s="220"/>
      <c r="L176" s="239" t="s">
        <v>193</v>
      </c>
      <c r="M176" s="239"/>
      <c r="N176" s="6" t="s">
        <v>301</v>
      </c>
      <c r="O176" s="205" t="s">
        <v>302</v>
      </c>
      <c r="P176" s="206"/>
      <c r="Q176" s="207"/>
      <c r="R176" s="208" t="s">
        <v>303</v>
      </c>
      <c r="S176" s="209"/>
      <c r="T176" s="209"/>
      <c r="U176" s="210"/>
      <c r="W176" s="6" t="s">
        <v>301</v>
      </c>
      <c r="X176" s="196" t="s">
        <v>302</v>
      </c>
      <c r="Y176" s="197"/>
      <c r="Z176" s="198"/>
      <c r="AA176" s="199" t="s">
        <v>303</v>
      </c>
      <c r="AB176" s="200"/>
      <c r="AC176" s="200"/>
      <c r="AD176" s="201"/>
    </row>
    <row r="177" spans="1:30" ht="16.2" customHeight="1">
      <c r="A177" s="227"/>
      <c r="B177" s="120" t="s">
        <v>617</v>
      </c>
      <c r="C177" s="134">
        <v>85</v>
      </c>
      <c r="D177" s="15" t="s">
        <v>472</v>
      </c>
      <c r="E177" s="16">
        <v>30</v>
      </c>
      <c r="F177" s="156" t="s">
        <v>379</v>
      </c>
      <c r="G177" s="96">
        <v>35</v>
      </c>
      <c r="H177" s="19" t="s">
        <v>381</v>
      </c>
      <c r="I177" s="114">
        <v>100</v>
      </c>
      <c r="J177" s="69" t="s">
        <v>473</v>
      </c>
      <c r="K177" s="70">
        <v>20</v>
      </c>
      <c r="L177" s="91" t="s">
        <v>333</v>
      </c>
      <c r="M177" s="92">
        <v>140</v>
      </c>
      <c r="N177" s="22" t="e">
        <f>S178</f>
        <v>#REF!</v>
      </c>
      <c r="O177" s="7" t="s">
        <v>0</v>
      </c>
      <c r="P177" s="42">
        <f>G182/55+M177/20+M178/20</f>
        <v>7</v>
      </c>
      <c r="Q177" s="9" t="s">
        <v>262</v>
      </c>
      <c r="R177" s="74" t="s">
        <v>306</v>
      </c>
      <c r="S177" s="75" t="e">
        <f>P183</f>
        <v>#REF!</v>
      </c>
      <c r="T177" s="76" t="s">
        <v>274</v>
      </c>
      <c r="U177" s="93"/>
      <c r="W177" s="22">
        <f>AB178</f>
        <v>127.22727272727272</v>
      </c>
      <c r="X177" s="7" t="s">
        <v>0</v>
      </c>
      <c r="Y177" s="42">
        <f>M177/20+E178/55+G178/30+E177/90</f>
        <v>7.7818181818181813</v>
      </c>
      <c r="Z177" s="9" t="s">
        <v>262</v>
      </c>
      <c r="AA177" s="74" t="s">
        <v>306</v>
      </c>
      <c r="AB177" s="75">
        <f>Y183</f>
        <v>888.05292207792195</v>
      </c>
      <c r="AC177" s="76" t="s">
        <v>274</v>
      </c>
      <c r="AD177" s="93"/>
    </row>
    <row r="178" spans="1:30" ht="16.2" customHeight="1">
      <c r="A178" s="227"/>
      <c r="B178" s="33" t="s">
        <v>359</v>
      </c>
      <c r="C178" s="38">
        <v>1</v>
      </c>
      <c r="D178" s="33" t="s">
        <v>444</v>
      </c>
      <c r="E178" s="38">
        <v>10</v>
      </c>
      <c r="F178" s="156" t="s">
        <v>474</v>
      </c>
      <c r="G178" s="52">
        <v>8</v>
      </c>
      <c r="H178" s="33"/>
      <c r="I178" s="35"/>
      <c r="J178" s="31" t="s">
        <v>433</v>
      </c>
      <c r="K178" s="32">
        <v>10</v>
      </c>
      <c r="L178" s="84"/>
      <c r="M178" s="85"/>
      <c r="N178" s="36" t="s">
        <v>338</v>
      </c>
      <c r="O178" s="23" t="s">
        <v>5</v>
      </c>
      <c r="P178" s="24" t="e">
        <f>C177*0.58/40+E179/55+#REF!*0.52/35+#REF!/80</f>
        <v>#REF!</v>
      </c>
      <c r="Q178" s="25" t="s">
        <v>262</v>
      </c>
      <c r="R178" s="26" t="s">
        <v>339</v>
      </c>
      <c r="S178" s="27" t="e">
        <f>P177*15+P179*5+P180*15+P181*12</f>
        <v>#REF!</v>
      </c>
      <c r="T178" s="25" t="s">
        <v>264</v>
      </c>
      <c r="U178" s="28" t="e">
        <f>S178*4/S177</f>
        <v>#REF!</v>
      </c>
      <c r="W178" s="36" t="s">
        <v>338</v>
      </c>
      <c r="X178" s="23" t="s">
        <v>5</v>
      </c>
      <c r="Y178" s="24">
        <f>C177/35+E181/35+G181/40+K178*0.6/40</f>
        <v>2.746428571428571</v>
      </c>
      <c r="Z178" s="25" t="s">
        <v>262</v>
      </c>
      <c r="AA178" s="26" t="s">
        <v>339</v>
      </c>
      <c r="AB178" s="27">
        <f>Y177*15+Y179*5+Y180*15+Y181*12</f>
        <v>127.22727272727272</v>
      </c>
      <c r="AC178" s="25" t="s">
        <v>264</v>
      </c>
      <c r="AD178" s="28">
        <f>AB178*4/AB177</f>
        <v>0.57306167037693367</v>
      </c>
    </row>
    <row r="179" spans="1:30" ht="16.2" customHeight="1">
      <c r="A179" s="227"/>
      <c r="B179" s="33"/>
      <c r="C179" s="38"/>
      <c r="D179" s="33" t="s">
        <v>457</v>
      </c>
      <c r="E179" s="38">
        <v>5</v>
      </c>
      <c r="F179" s="156" t="s">
        <v>357</v>
      </c>
      <c r="G179" s="52">
        <v>12</v>
      </c>
      <c r="H179" s="33"/>
      <c r="I179" s="35"/>
      <c r="J179" s="81" t="s">
        <v>308</v>
      </c>
      <c r="K179" s="116">
        <v>0.4</v>
      </c>
      <c r="L179" s="84"/>
      <c r="M179" s="85"/>
      <c r="N179" s="22" t="e">
        <f>S179</f>
        <v>#REF!</v>
      </c>
      <c r="O179" s="37" t="s">
        <v>318</v>
      </c>
      <c r="P179" s="24" t="e">
        <f>(E177+E178+E179+E180+#REF!+#REF!+I177+#REF!+#REF!)/100</f>
        <v>#REF!</v>
      </c>
      <c r="Q179" s="25" t="s">
        <v>262</v>
      </c>
      <c r="R179" s="26" t="s">
        <v>319</v>
      </c>
      <c r="S179" s="27" t="e">
        <f>P178*5+P181*4+P182*5</f>
        <v>#REF!</v>
      </c>
      <c r="T179" s="25" t="s">
        <v>264</v>
      </c>
      <c r="U179" s="28" t="e">
        <f>S179*9/S177</f>
        <v>#REF!</v>
      </c>
      <c r="W179" s="22">
        <f>AB179</f>
        <v>25.732142857142854</v>
      </c>
      <c r="X179" s="37" t="s">
        <v>248</v>
      </c>
      <c r="Y179" s="24">
        <f>(E177+E179+E180+G177+G179+G180+I177+K177)/100</f>
        <v>2.1</v>
      </c>
      <c r="Z179" s="25" t="s">
        <v>242</v>
      </c>
      <c r="AA179" s="26" t="s">
        <v>249</v>
      </c>
      <c r="AB179" s="27">
        <f>Y178*5+Y181*4+Y182*5</f>
        <v>25.732142857142854</v>
      </c>
      <c r="AC179" s="25" t="s">
        <v>244</v>
      </c>
      <c r="AD179" s="28">
        <f>AB179*9/AB177</f>
        <v>0.26078320329423449</v>
      </c>
    </row>
    <row r="180" spans="1:30" ht="16.2" customHeight="1">
      <c r="A180" s="227"/>
      <c r="B180" s="33"/>
      <c r="C180" s="38"/>
      <c r="D180" s="33" t="s">
        <v>265</v>
      </c>
      <c r="E180" s="38">
        <v>5</v>
      </c>
      <c r="F180" s="54" t="s">
        <v>460</v>
      </c>
      <c r="G180" s="35">
        <v>3</v>
      </c>
      <c r="H180" s="21"/>
      <c r="I180" s="35"/>
      <c r="J180" s="33" t="s">
        <v>265</v>
      </c>
      <c r="K180" s="38">
        <v>3</v>
      </c>
      <c r="L180" s="89"/>
      <c r="M180" s="32"/>
      <c r="N180" s="36" t="s">
        <v>260</v>
      </c>
      <c r="O180" s="41" t="s">
        <v>261</v>
      </c>
      <c r="P180" s="42">
        <v>0</v>
      </c>
      <c r="Q180" s="25" t="s">
        <v>262</v>
      </c>
      <c r="R180" s="26" t="s">
        <v>263</v>
      </c>
      <c r="S180" s="27" t="e">
        <f>P177*2+P178*7+P179*1+P181*8</f>
        <v>#REF!</v>
      </c>
      <c r="T180" s="25" t="s">
        <v>264</v>
      </c>
      <c r="U180" s="28" t="e">
        <f>S180*4/S177</f>
        <v>#REF!</v>
      </c>
      <c r="W180" s="36" t="s">
        <v>260</v>
      </c>
      <c r="X180" s="49" t="s">
        <v>295</v>
      </c>
      <c r="Y180" s="42">
        <v>0</v>
      </c>
      <c r="Z180" s="25" t="s">
        <v>242</v>
      </c>
      <c r="AA180" s="26" t="s">
        <v>296</v>
      </c>
      <c r="AB180" s="27">
        <f>Y177*2+Y178*7+Y179*1+Y181*8</f>
        <v>36.888636363636358</v>
      </c>
      <c r="AC180" s="25" t="s">
        <v>244</v>
      </c>
      <c r="AD180" s="28">
        <f>AB180*4/AB177</f>
        <v>0.16615512632883189</v>
      </c>
    </row>
    <row r="181" spans="1:30" ht="16.2" customHeight="1">
      <c r="A181" s="227" t="s">
        <v>360</v>
      </c>
      <c r="B181" s="47"/>
      <c r="C181" s="48"/>
      <c r="D181" s="33" t="s">
        <v>355</v>
      </c>
      <c r="E181" s="38">
        <v>5</v>
      </c>
      <c r="F181" s="54" t="s">
        <v>475</v>
      </c>
      <c r="G181" s="35">
        <v>1</v>
      </c>
      <c r="H181" s="21"/>
      <c r="I181" s="35"/>
      <c r="J181" s="123"/>
      <c r="K181" s="35"/>
      <c r="L181" s="84"/>
      <c r="M181" s="85"/>
      <c r="N181" s="22" t="e">
        <f>S180</f>
        <v>#REF!</v>
      </c>
      <c r="O181" s="49" t="s">
        <v>9</v>
      </c>
      <c r="P181" s="42">
        <v>0</v>
      </c>
      <c r="Q181" s="25" t="s">
        <v>262</v>
      </c>
      <c r="R181" s="50"/>
      <c r="S181" s="50"/>
      <c r="T181" s="50"/>
      <c r="U181" s="51" t="e">
        <f>SUM(U178:U180)</f>
        <v>#REF!</v>
      </c>
      <c r="W181" s="22">
        <f>AB180</f>
        <v>36.888636363636358</v>
      </c>
      <c r="X181" s="49" t="s">
        <v>9</v>
      </c>
      <c r="Y181" s="42">
        <v>0</v>
      </c>
      <c r="Z181" s="25" t="s">
        <v>242</v>
      </c>
      <c r="AA181" s="50"/>
      <c r="AB181" s="50"/>
      <c r="AC181" s="50"/>
      <c r="AD181" s="51">
        <f>SUM(AD178:AD180)</f>
        <v>1</v>
      </c>
    </row>
    <row r="182" spans="1:30" ht="16.2" customHeight="1">
      <c r="A182" s="227"/>
      <c r="B182" s="47"/>
      <c r="C182" s="48"/>
      <c r="D182" s="47" t="s">
        <v>361</v>
      </c>
      <c r="E182" s="48">
        <v>1</v>
      </c>
      <c r="F182" s="47"/>
      <c r="G182" s="48"/>
      <c r="H182" s="105"/>
      <c r="I182" s="88"/>
      <c r="J182" s="123"/>
      <c r="K182" s="157"/>
      <c r="L182" s="105"/>
      <c r="M182" s="88"/>
      <c r="N182" s="36" t="s">
        <v>272</v>
      </c>
      <c r="O182" s="55" t="s">
        <v>269</v>
      </c>
      <c r="P182" s="42">
        <v>2.5</v>
      </c>
      <c r="Q182" s="25" t="s">
        <v>262</v>
      </c>
      <c r="R182" s="56"/>
      <c r="S182" s="56"/>
      <c r="T182" s="56"/>
      <c r="U182" s="57"/>
      <c r="W182" s="36" t="s">
        <v>272</v>
      </c>
      <c r="X182" s="55" t="s">
        <v>509</v>
      </c>
      <c r="Y182" s="42">
        <v>2.4</v>
      </c>
      <c r="Z182" s="25" t="s">
        <v>242</v>
      </c>
      <c r="AA182" s="56"/>
      <c r="AB182" s="56"/>
      <c r="AC182" s="56"/>
      <c r="AD182" s="57"/>
    </row>
    <row r="183" spans="1:30" ht="16.649999999999999" thickBot="1">
      <c r="A183" s="228"/>
      <c r="B183" s="234" t="s">
        <v>275</v>
      </c>
      <c r="C183" s="235"/>
      <c r="D183" s="247" t="s">
        <v>195</v>
      </c>
      <c r="E183" s="235"/>
      <c r="F183" s="223" t="s">
        <v>195</v>
      </c>
      <c r="G183" s="224"/>
      <c r="H183" s="223" t="s">
        <v>197</v>
      </c>
      <c r="I183" s="224"/>
      <c r="J183" s="223" t="s">
        <v>196</v>
      </c>
      <c r="K183" s="224"/>
      <c r="L183" s="223" t="s">
        <v>198</v>
      </c>
      <c r="M183" s="224"/>
      <c r="N183" s="65" t="e">
        <f>P183</f>
        <v>#REF!</v>
      </c>
      <c r="O183" s="59" t="s">
        <v>273</v>
      </c>
      <c r="P183" s="60" t="e">
        <f>P177*68+P178*73+P179*24+P180*60+P181*112+P182*45</f>
        <v>#REF!</v>
      </c>
      <c r="Q183" s="61" t="s">
        <v>274</v>
      </c>
      <c r="R183" s="62"/>
      <c r="S183" s="62"/>
      <c r="T183" s="62"/>
      <c r="U183" s="63"/>
      <c r="W183" s="65">
        <f>Y183</f>
        <v>888.05292207792195</v>
      </c>
      <c r="X183" s="59" t="s">
        <v>515</v>
      </c>
      <c r="Y183" s="60">
        <f>Y177*68+Y178*73+Y179*24+Y180*60+Y181*112+Y182*45</f>
        <v>888.05292207792195</v>
      </c>
      <c r="Z183" s="61" t="s">
        <v>516</v>
      </c>
      <c r="AA183" s="62"/>
      <c r="AB183" s="62"/>
      <c r="AC183" s="62"/>
      <c r="AD183" s="63"/>
    </row>
    <row r="184" spans="1:30" ht="16.2" customHeight="1">
      <c r="A184" s="229" t="s">
        <v>362</v>
      </c>
      <c r="B184" s="240"/>
      <c r="C184" s="240"/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</row>
    <row r="185" spans="1:30">
      <c r="A185" s="230" t="s">
        <v>363</v>
      </c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</row>
    <row r="186" spans="1:30" ht="16.2" customHeight="1">
      <c r="A186" s="231" t="s">
        <v>434</v>
      </c>
      <c r="B186" s="231"/>
      <c r="C186" s="231"/>
      <c r="D186" s="231"/>
      <c r="E186" s="231"/>
      <c r="F186" s="231"/>
      <c r="G186" s="231"/>
      <c r="H186" s="231"/>
      <c r="I186" s="231"/>
      <c r="J186" s="231"/>
      <c r="K186" s="231"/>
      <c r="L186" s="231"/>
      <c r="M186" s="231"/>
      <c r="N186" s="231"/>
    </row>
    <row r="187" spans="1:30">
      <c r="A187" s="232" t="s">
        <v>435</v>
      </c>
      <c r="B187" s="232"/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</row>
    <row r="188" spans="1:30">
      <c r="A188" s="233" t="s">
        <v>436</v>
      </c>
      <c r="B188" s="233"/>
      <c r="C188" s="233"/>
      <c r="D188" s="233"/>
      <c r="E188" s="233"/>
      <c r="F188" s="233"/>
      <c r="G188" s="233"/>
      <c r="H188" s="233"/>
      <c r="I188" s="233"/>
      <c r="J188" s="233"/>
      <c r="K188" s="233"/>
      <c r="L188" s="233"/>
      <c r="M188" s="233"/>
      <c r="N188" s="233"/>
    </row>
    <row r="189" spans="1:30" ht="22.75" thickBot="1">
      <c r="A189" s="211" t="s">
        <v>587</v>
      </c>
      <c r="B189" s="211"/>
      <c r="C189" s="211"/>
      <c r="D189" s="211"/>
      <c r="E189" s="211"/>
      <c r="F189" s="211"/>
      <c r="G189" s="211"/>
      <c r="H189" s="211"/>
      <c r="I189" s="211"/>
      <c r="J189" s="211"/>
      <c r="K189" s="211"/>
      <c r="L189" s="211"/>
      <c r="M189" s="211"/>
    </row>
    <row r="190" spans="1:30" ht="35.35" customHeight="1" thickBot="1">
      <c r="A190" s="119" t="s">
        <v>217</v>
      </c>
      <c r="B190" s="5" t="s">
        <v>218</v>
      </c>
      <c r="C190" s="4" t="s">
        <v>219</v>
      </c>
      <c r="D190" s="5" t="s">
        <v>220</v>
      </c>
      <c r="E190" s="4" t="s">
        <v>219</v>
      </c>
      <c r="F190" s="5" t="s">
        <v>220</v>
      </c>
      <c r="G190" s="4" t="s">
        <v>219</v>
      </c>
      <c r="H190" s="5" t="s">
        <v>220</v>
      </c>
      <c r="I190" s="4" t="s">
        <v>219</v>
      </c>
      <c r="J190" s="5" t="s">
        <v>222</v>
      </c>
      <c r="K190" s="4" t="s">
        <v>219</v>
      </c>
      <c r="L190" s="5" t="s">
        <v>223</v>
      </c>
      <c r="M190" s="4" t="s">
        <v>219</v>
      </c>
      <c r="N190" s="4" t="s">
        <v>224</v>
      </c>
      <c r="O190" s="212" t="s">
        <v>225</v>
      </c>
      <c r="P190" s="213"/>
      <c r="Q190" s="213"/>
      <c r="R190" s="213"/>
      <c r="S190" s="213"/>
      <c r="T190" s="213"/>
      <c r="U190" s="214"/>
      <c r="W190" s="4" t="s">
        <v>224</v>
      </c>
      <c r="X190" s="212" t="s">
        <v>375</v>
      </c>
      <c r="Y190" s="213"/>
      <c r="Z190" s="213"/>
      <c r="AA190" s="213"/>
      <c r="AB190" s="213"/>
      <c r="AC190" s="213"/>
      <c r="AD190" s="214"/>
    </row>
    <row r="191" spans="1:30" ht="16.2" customHeight="1" thickBot="1">
      <c r="A191" s="215">
        <f>A176+3</f>
        <v>44095</v>
      </c>
      <c r="B191" s="217" t="s">
        <v>478</v>
      </c>
      <c r="C191" s="218"/>
      <c r="D191" s="219" t="s">
        <v>479</v>
      </c>
      <c r="E191" s="220"/>
      <c r="F191" s="217" t="s">
        <v>476</v>
      </c>
      <c r="G191" s="218"/>
      <c r="H191" s="217" t="s">
        <v>185</v>
      </c>
      <c r="I191" s="226"/>
      <c r="J191" s="217" t="s">
        <v>477</v>
      </c>
      <c r="K191" s="218"/>
      <c r="L191" s="221" t="s">
        <v>650</v>
      </c>
      <c r="M191" s="222"/>
      <c r="N191" s="6" t="s">
        <v>301</v>
      </c>
      <c r="O191" s="7" t="s">
        <v>0</v>
      </c>
      <c r="P191" s="8" t="e">
        <f>C192/65+G192/55+#REF!/90+K192/20+M192/20+M193/20</f>
        <v>#REF!</v>
      </c>
      <c r="Q191" s="9" t="s">
        <v>262</v>
      </c>
      <c r="R191" s="10" t="s">
        <v>306</v>
      </c>
      <c r="S191" s="11" t="e">
        <f>P197</f>
        <v>#REF!</v>
      </c>
      <c r="T191" s="9" t="s">
        <v>274</v>
      </c>
      <c r="U191" s="12" t="s">
        <v>334</v>
      </c>
      <c r="W191" s="6" t="s">
        <v>301</v>
      </c>
      <c r="X191" s="196" t="s">
        <v>522</v>
      </c>
      <c r="Y191" s="197"/>
      <c r="Z191" s="198"/>
      <c r="AA191" s="199" t="s">
        <v>523</v>
      </c>
      <c r="AB191" s="200"/>
      <c r="AC191" s="200"/>
      <c r="AD191" s="201"/>
    </row>
    <row r="192" spans="1:30" ht="16.2" customHeight="1">
      <c r="A192" s="227"/>
      <c r="B192" s="33" t="s">
        <v>414</v>
      </c>
      <c r="C192" s="38">
        <v>100</v>
      </c>
      <c r="D192" s="15" t="s">
        <v>441</v>
      </c>
      <c r="E192" s="16">
        <v>70</v>
      </c>
      <c r="F192" s="54" t="s">
        <v>428</v>
      </c>
      <c r="G192" s="34">
        <v>40</v>
      </c>
      <c r="H192" s="19" t="s">
        <v>331</v>
      </c>
      <c r="I192" s="20">
        <v>100</v>
      </c>
      <c r="J192" s="15" t="s">
        <v>430</v>
      </c>
      <c r="K192" s="16">
        <v>15</v>
      </c>
      <c r="L192" s="115" t="s">
        <v>4</v>
      </c>
      <c r="M192" s="18">
        <v>130</v>
      </c>
      <c r="N192" s="22" t="e">
        <f>S192</f>
        <v>#REF!</v>
      </c>
      <c r="O192" s="23" t="s">
        <v>5</v>
      </c>
      <c r="P192" s="24">
        <f>C194/55+E192/50+E193/35+K195/35</f>
        <v>1.4467532467532465</v>
      </c>
      <c r="Q192" s="25" t="s">
        <v>262</v>
      </c>
      <c r="R192" s="26" t="s">
        <v>339</v>
      </c>
      <c r="S192" s="27" t="e">
        <f>P191*15+P193*5+P194*15+P195*12</f>
        <v>#REF!</v>
      </c>
      <c r="T192" s="25" t="s">
        <v>264</v>
      </c>
      <c r="U192" s="28" t="e">
        <f>S192*4/S191</f>
        <v>#REF!</v>
      </c>
      <c r="W192" s="22">
        <f>AB193</f>
        <v>121.3</v>
      </c>
      <c r="X192" s="29" t="s">
        <v>0</v>
      </c>
      <c r="Y192" s="8">
        <f>M192/20+M193/20</f>
        <v>7.5</v>
      </c>
      <c r="Z192" s="9" t="s">
        <v>242</v>
      </c>
      <c r="AA192" s="10" t="s">
        <v>287</v>
      </c>
      <c r="AB192" s="11">
        <f>Y198</f>
        <v>862.64909090909089</v>
      </c>
      <c r="AC192" s="9" t="s">
        <v>516</v>
      </c>
      <c r="AD192" s="12" t="s">
        <v>555</v>
      </c>
    </row>
    <row r="193" spans="1:30" ht="16.2" customHeight="1">
      <c r="A193" s="227"/>
      <c r="B193" s="118" t="s">
        <v>308</v>
      </c>
      <c r="C193" s="136">
        <v>0.4</v>
      </c>
      <c r="D193" s="13" t="s">
        <v>480</v>
      </c>
      <c r="E193" s="14">
        <v>1</v>
      </c>
      <c r="F193" s="13" t="s">
        <v>344</v>
      </c>
      <c r="G193" s="85">
        <v>3</v>
      </c>
      <c r="H193" s="13"/>
      <c r="I193" s="34"/>
      <c r="J193" s="158" t="s">
        <v>343</v>
      </c>
      <c r="K193" s="38">
        <v>8</v>
      </c>
      <c r="L193" s="21" t="s">
        <v>651</v>
      </c>
      <c r="M193" s="35">
        <v>20</v>
      </c>
      <c r="N193" s="36" t="s">
        <v>338</v>
      </c>
      <c r="O193" s="37" t="s">
        <v>318</v>
      </c>
      <c r="P193" s="24">
        <f>(C193+I192+K193+K194+K196)/100</f>
        <v>1.0940000000000001</v>
      </c>
      <c r="Q193" s="25" t="s">
        <v>262</v>
      </c>
      <c r="R193" s="26" t="s">
        <v>319</v>
      </c>
      <c r="S193" s="27">
        <f>P192*5+P195*4+P196*5</f>
        <v>19.733766233766232</v>
      </c>
      <c r="T193" s="25" t="s">
        <v>264</v>
      </c>
      <c r="U193" s="28" t="e">
        <f>S193*9/S191</f>
        <v>#REF!</v>
      </c>
      <c r="W193" s="36" t="s">
        <v>338</v>
      </c>
      <c r="X193" s="23" t="s">
        <v>5</v>
      </c>
      <c r="Y193" s="24">
        <f>C192*0.6/40+E192/55</f>
        <v>2.7727272727272725</v>
      </c>
      <c r="Z193" s="25" t="s">
        <v>230</v>
      </c>
      <c r="AA193" s="26" t="s">
        <v>532</v>
      </c>
      <c r="AB193" s="27">
        <f>Y192*15+Y194*5+Y195*15+Y196*12</f>
        <v>121.3</v>
      </c>
      <c r="AC193" s="25" t="s">
        <v>256</v>
      </c>
      <c r="AD193" s="28">
        <f>AB193*4/AB192</f>
        <v>0.5624534994741357</v>
      </c>
    </row>
    <row r="194" spans="1:30" ht="16.2" customHeight="1">
      <c r="A194" s="227"/>
      <c r="B194" s="33" t="s">
        <v>359</v>
      </c>
      <c r="C194" s="38">
        <v>1</v>
      </c>
      <c r="D194" s="13" t="s">
        <v>431</v>
      </c>
      <c r="E194" s="14">
        <v>0.5</v>
      </c>
      <c r="F194" s="13" t="s">
        <v>265</v>
      </c>
      <c r="G194" s="32">
        <v>5</v>
      </c>
      <c r="H194" s="39"/>
      <c r="I194" s="14"/>
      <c r="J194" s="33" t="s">
        <v>340</v>
      </c>
      <c r="K194" s="88">
        <v>1</v>
      </c>
      <c r="L194" s="13"/>
      <c r="M194" s="88"/>
      <c r="N194" s="22">
        <f>S193</f>
        <v>19.733766233766232</v>
      </c>
      <c r="O194" s="41" t="s">
        <v>261</v>
      </c>
      <c r="P194" s="42">
        <v>0</v>
      </c>
      <c r="Q194" s="25" t="s">
        <v>262</v>
      </c>
      <c r="R194" s="26" t="s">
        <v>263</v>
      </c>
      <c r="S194" s="27" t="e">
        <f>P191*2+P192*7+P193*1+P195*8</f>
        <v>#REF!</v>
      </c>
      <c r="T194" s="25" t="s">
        <v>264</v>
      </c>
      <c r="U194" s="28" t="e">
        <f>S194*4/S191</f>
        <v>#REF!</v>
      </c>
      <c r="W194" s="22">
        <f>AB194</f>
        <v>25.863636363636363</v>
      </c>
      <c r="X194" s="37" t="s">
        <v>248</v>
      </c>
      <c r="Y194" s="24">
        <f>(G192+G193+G194+G195+E193+I192+K192+K193+K194)/100</f>
        <v>1.76</v>
      </c>
      <c r="Z194" s="25" t="s">
        <v>242</v>
      </c>
      <c r="AA194" s="26" t="s">
        <v>249</v>
      </c>
      <c r="AB194" s="27">
        <f>Y193*5+Y196*4+Y197*5</f>
        <v>25.863636363636363</v>
      </c>
      <c r="AC194" s="25" t="s">
        <v>244</v>
      </c>
      <c r="AD194" s="28">
        <f>AB194*9/AB192</f>
        <v>0.26983477954798857</v>
      </c>
    </row>
    <row r="195" spans="1:30" ht="16.2" customHeight="1">
      <c r="A195" s="227"/>
      <c r="B195" s="33"/>
      <c r="C195" s="38"/>
      <c r="D195" s="13" t="s">
        <v>359</v>
      </c>
      <c r="E195" s="14">
        <v>0.1</v>
      </c>
      <c r="F195" s="13" t="s">
        <v>423</v>
      </c>
      <c r="G195" s="85">
        <v>3</v>
      </c>
      <c r="H195" s="39"/>
      <c r="I195" s="14"/>
      <c r="J195" s="127"/>
      <c r="K195" s="38"/>
      <c r="L195" s="33"/>
      <c r="M195" s="64"/>
      <c r="N195" s="36" t="s">
        <v>260</v>
      </c>
      <c r="O195" s="49" t="s">
        <v>9</v>
      </c>
      <c r="P195" s="42">
        <v>0</v>
      </c>
      <c r="Q195" s="25" t="s">
        <v>262</v>
      </c>
      <c r="R195" s="50"/>
      <c r="S195" s="50"/>
      <c r="T195" s="50"/>
      <c r="U195" s="51" t="e">
        <f>SUM(U192:U194)</f>
        <v>#REF!</v>
      </c>
      <c r="W195" s="36" t="s">
        <v>260</v>
      </c>
      <c r="X195" s="49" t="s">
        <v>295</v>
      </c>
      <c r="Y195" s="42">
        <v>0</v>
      </c>
      <c r="Z195" s="25" t="s">
        <v>242</v>
      </c>
      <c r="AA195" s="26" t="s">
        <v>296</v>
      </c>
      <c r="AB195" s="27">
        <f>Y192*2+Y193*7+Y194*1+Y196*8</f>
        <v>36.169090909090905</v>
      </c>
      <c r="AC195" s="25" t="s">
        <v>244</v>
      </c>
      <c r="AD195" s="28">
        <f>AB195*4/AB192</f>
        <v>0.16771172097787573</v>
      </c>
    </row>
    <row r="196" spans="1:30" ht="15.8" customHeight="1">
      <c r="A196" s="227" t="s">
        <v>267</v>
      </c>
      <c r="B196" s="47"/>
      <c r="C196" s="48"/>
      <c r="D196" s="31"/>
      <c r="E196" s="32"/>
      <c r="F196" s="13"/>
      <c r="H196" s="39"/>
      <c r="I196" s="14"/>
      <c r="J196" s="127"/>
      <c r="K196" s="38"/>
      <c r="L196" s="33"/>
      <c r="M196" s="64"/>
      <c r="N196" s="22" t="e">
        <f>S194</f>
        <v>#REF!</v>
      </c>
      <c r="O196" s="55" t="s">
        <v>269</v>
      </c>
      <c r="P196" s="42">
        <v>2.5</v>
      </c>
      <c r="Q196" s="25" t="s">
        <v>262</v>
      </c>
      <c r="R196" s="56"/>
      <c r="S196" s="56"/>
      <c r="T196" s="56"/>
      <c r="U196" s="57"/>
      <c r="W196" s="22">
        <f>AB195</f>
        <v>36.169090909090905</v>
      </c>
      <c r="X196" s="49" t="s">
        <v>9</v>
      </c>
      <c r="Y196" s="42">
        <v>0</v>
      </c>
      <c r="Z196" s="25" t="s">
        <v>242</v>
      </c>
      <c r="AA196" s="50"/>
      <c r="AB196" s="50"/>
      <c r="AC196" s="50"/>
      <c r="AD196" s="51">
        <f>SUM(AD193:AD195)</f>
        <v>1</v>
      </c>
    </row>
    <row r="197" spans="1:30" ht="16.5" customHeight="1" thickBot="1">
      <c r="A197" s="227"/>
      <c r="B197" s="47"/>
      <c r="C197" s="48"/>
      <c r="D197" s="21"/>
      <c r="E197" s="35"/>
      <c r="F197" s="13"/>
      <c r="G197" s="85"/>
      <c r="H197" s="39"/>
      <c r="I197" s="14"/>
      <c r="J197" s="118"/>
      <c r="K197" s="117"/>
      <c r="L197" s="33"/>
      <c r="M197" s="64"/>
      <c r="N197" s="36" t="s">
        <v>272</v>
      </c>
      <c r="O197" s="59" t="s">
        <v>273</v>
      </c>
      <c r="P197" s="60" t="e">
        <f>P191*68+P192*73+P193*24+P194*60+P195*112+P196*45</f>
        <v>#REF!</v>
      </c>
      <c r="Q197" s="61" t="s">
        <v>274</v>
      </c>
      <c r="R197" s="62"/>
      <c r="S197" s="62"/>
      <c r="T197" s="62"/>
      <c r="U197" s="63"/>
      <c r="W197" s="36" t="s">
        <v>272</v>
      </c>
      <c r="X197" s="55" t="s">
        <v>509</v>
      </c>
      <c r="Y197" s="42">
        <v>2.4</v>
      </c>
      <c r="Z197" s="25" t="s">
        <v>242</v>
      </c>
      <c r="AA197" s="56"/>
      <c r="AB197" s="56"/>
      <c r="AC197" s="56"/>
      <c r="AD197" s="57"/>
    </row>
    <row r="198" spans="1:30" ht="16.2" customHeight="1" thickBot="1">
      <c r="A198" s="228"/>
      <c r="B198" s="223" t="s">
        <v>275</v>
      </c>
      <c r="C198" s="224"/>
      <c r="D198" s="223" t="s">
        <v>198</v>
      </c>
      <c r="E198" s="224"/>
      <c r="F198" s="223" t="s">
        <v>196</v>
      </c>
      <c r="G198" s="224"/>
      <c r="H198" s="223" t="s">
        <v>197</v>
      </c>
      <c r="I198" s="224"/>
      <c r="J198" s="234" t="s">
        <v>196</v>
      </c>
      <c r="K198" s="235"/>
      <c r="L198" s="223" t="s">
        <v>198</v>
      </c>
      <c r="M198" s="224"/>
      <c r="N198" s="65" t="e">
        <f>P197</f>
        <v>#REF!</v>
      </c>
      <c r="O198" s="66"/>
      <c r="P198" s="67"/>
      <c r="Q198" s="67"/>
      <c r="R198" s="67"/>
      <c r="S198" s="67"/>
      <c r="T198" s="67"/>
      <c r="U198" s="68"/>
      <c r="W198" s="65">
        <f>Y198</f>
        <v>862.64909090909089</v>
      </c>
      <c r="X198" s="59" t="s">
        <v>273</v>
      </c>
      <c r="Y198" s="60">
        <f>Y192*68+Y193*73+Y194*24+Y195*60+Y196*112+Y197*45</f>
        <v>862.64909090909089</v>
      </c>
      <c r="Z198" s="61" t="s">
        <v>274</v>
      </c>
      <c r="AA198" s="62"/>
      <c r="AB198" s="62"/>
      <c r="AC198" s="62"/>
      <c r="AD198" s="63"/>
    </row>
    <row r="199" spans="1:30" ht="16.2" customHeight="1" thickBot="1">
      <c r="A199" s="215">
        <f>A191+1</f>
        <v>44096</v>
      </c>
      <c r="B199" s="219" t="s">
        <v>481</v>
      </c>
      <c r="C199" s="220"/>
      <c r="D199" s="248" t="s">
        <v>618</v>
      </c>
      <c r="E199" s="249"/>
      <c r="F199" s="219" t="s">
        <v>482</v>
      </c>
      <c r="G199" s="220"/>
      <c r="H199" s="217" t="s">
        <v>185</v>
      </c>
      <c r="I199" s="226"/>
      <c r="J199" s="219" t="s">
        <v>483</v>
      </c>
      <c r="K199" s="220"/>
      <c r="L199" s="221" t="s">
        <v>453</v>
      </c>
      <c r="M199" s="222"/>
      <c r="N199" s="6" t="s">
        <v>301</v>
      </c>
      <c r="O199" s="205" t="s">
        <v>302</v>
      </c>
      <c r="P199" s="206"/>
      <c r="Q199" s="207"/>
      <c r="R199" s="208" t="s">
        <v>303</v>
      </c>
      <c r="S199" s="209"/>
      <c r="T199" s="209"/>
      <c r="U199" s="210"/>
      <c r="W199" s="6" t="s">
        <v>301</v>
      </c>
      <c r="X199" s="196" t="s">
        <v>302</v>
      </c>
      <c r="Y199" s="197"/>
      <c r="Z199" s="198"/>
      <c r="AA199" s="199" t="s">
        <v>303</v>
      </c>
      <c r="AB199" s="200"/>
      <c r="AC199" s="200"/>
      <c r="AD199" s="201"/>
    </row>
    <row r="200" spans="1:30" ht="16.2" customHeight="1">
      <c r="A200" s="227"/>
      <c r="B200" s="33" t="s">
        <v>484</v>
      </c>
      <c r="C200" s="38">
        <v>70</v>
      </c>
      <c r="D200" s="161" t="s">
        <v>485</v>
      </c>
      <c r="E200" s="144">
        <v>30</v>
      </c>
      <c r="F200" s="33" t="s">
        <v>486</v>
      </c>
      <c r="G200" s="114">
        <v>10</v>
      </c>
      <c r="H200" s="106" t="s">
        <v>381</v>
      </c>
      <c r="I200" s="20">
        <v>100</v>
      </c>
      <c r="J200" s="69" t="s">
        <v>487</v>
      </c>
      <c r="K200" s="70">
        <v>30</v>
      </c>
      <c r="L200" s="21" t="s">
        <v>333</v>
      </c>
      <c r="M200" s="18">
        <v>110</v>
      </c>
      <c r="N200" s="22" t="e">
        <f>S201</f>
        <v>#REF!</v>
      </c>
      <c r="O200" s="7" t="s">
        <v>0</v>
      </c>
      <c r="P200" s="42">
        <f>G200/20+M200/20+M201/55</f>
        <v>6.545454545454545</v>
      </c>
      <c r="Q200" s="9" t="s">
        <v>262</v>
      </c>
      <c r="R200" s="74" t="s">
        <v>306</v>
      </c>
      <c r="S200" s="75" t="e">
        <f>P206</f>
        <v>#REF!</v>
      </c>
      <c r="T200" s="76" t="s">
        <v>274</v>
      </c>
      <c r="U200" s="77" t="s">
        <v>334</v>
      </c>
      <c r="W200" s="22">
        <f>AB201</f>
        <v>119.68235294117646</v>
      </c>
      <c r="X200" s="7" t="s">
        <v>0</v>
      </c>
      <c r="Y200" s="8">
        <f>M200/20+M201/20+G200/30+G205/85</f>
        <v>7.3921568627450975</v>
      </c>
      <c r="Z200" s="9" t="s">
        <v>262</v>
      </c>
      <c r="AA200" s="74" t="s">
        <v>306</v>
      </c>
      <c r="AB200" s="75">
        <f>Y206</f>
        <v>861.99952380952379</v>
      </c>
      <c r="AC200" s="76" t="s">
        <v>274</v>
      </c>
      <c r="AD200" s="77" t="s">
        <v>334</v>
      </c>
    </row>
    <row r="201" spans="1:30" ht="16.2" customHeight="1">
      <c r="A201" s="227"/>
      <c r="B201" s="47" t="s">
        <v>270</v>
      </c>
      <c r="C201" s="48">
        <v>12</v>
      </c>
      <c r="D201" s="81" t="s">
        <v>308</v>
      </c>
      <c r="E201" s="82">
        <v>0.4</v>
      </c>
      <c r="F201" s="33" t="s">
        <v>357</v>
      </c>
      <c r="G201" s="35">
        <v>18</v>
      </c>
      <c r="H201" s="13"/>
      <c r="I201" s="34"/>
      <c r="J201" s="163" t="s">
        <v>265</v>
      </c>
      <c r="K201" s="96">
        <v>5</v>
      </c>
      <c r="L201" s="21" t="s">
        <v>398</v>
      </c>
      <c r="M201" s="35">
        <v>30</v>
      </c>
      <c r="N201" s="36" t="s">
        <v>338</v>
      </c>
      <c r="O201" s="23" t="s">
        <v>5</v>
      </c>
      <c r="P201" s="24" t="e">
        <f>C200/35+G203/35+E203/55+#REF!*0.65/35</f>
        <v>#REF!</v>
      </c>
      <c r="Q201" s="25" t="s">
        <v>262</v>
      </c>
      <c r="R201" s="26" t="s">
        <v>339</v>
      </c>
      <c r="S201" s="27" t="e">
        <f>P200*15+P202*5+P203*15+P204*12</f>
        <v>#REF!</v>
      </c>
      <c r="T201" s="25" t="s">
        <v>264</v>
      </c>
      <c r="U201" s="28" t="e">
        <f>S201*4/S200</f>
        <v>#REF!</v>
      </c>
      <c r="W201" s="36" t="s">
        <v>338</v>
      </c>
      <c r="X201" s="23" t="s">
        <v>5</v>
      </c>
      <c r="Y201" s="24">
        <f>C200/35+E200*0.6/40+G203/35+K202*0.65/35</f>
        <v>2.8642857142857148</v>
      </c>
      <c r="Z201" s="25" t="s">
        <v>262</v>
      </c>
      <c r="AA201" s="26" t="s">
        <v>339</v>
      </c>
      <c r="AB201" s="27">
        <f>Y200*15+Y202*5+Y203*15+Y204*12</f>
        <v>119.68235294117646</v>
      </c>
      <c r="AC201" s="25" t="s">
        <v>264</v>
      </c>
      <c r="AD201" s="28">
        <f>AB201*4/AB200</f>
        <v>0.55537085409166742</v>
      </c>
    </row>
    <row r="202" spans="1:30" ht="16.2" customHeight="1">
      <c r="A202" s="227"/>
      <c r="B202" s="33" t="s">
        <v>265</v>
      </c>
      <c r="C202" s="38">
        <v>3</v>
      </c>
      <c r="D202" s="79"/>
      <c r="E202" s="145"/>
      <c r="F202" s="33" t="s">
        <v>265</v>
      </c>
      <c r="G202" s="35">
        <v>5</v>
      </c>
      <c r="H202" s="39"/>
      <c r="I202" s="14"/>
      <c r="J202" s="95" t="s">
        <v>397</v>
      </c>
      <c r="K202" s="71">
        <v>10</v>
      </c>
      <c r="L202" s="84"/>
      <c r="M202" s="85"/>
      <c r="N202" s="22" t="e">
        <f>S202</f>
        <v>#REF!</v>
      </c>
      <c r="O202" s="37" t="s">
        <v>318</v>
      </c>
      <c r="P202" s="24" t="e">
        <f>(C201+G201+G202+E200+E201+E202+#REF!+I200+#REF!)/100</f>
        <v>#REF!</v>
      </c>
      <c r="Q202" s="25" t="s">
        <v>262</v>
      </c>
      <c r="R202" s="26" t="s">
        <v>319</v>
      </c>
      <c r="S202" s="27" t="e">
        <f>P201*5+P204*4+P205*5</f>
        <v>#REF!</v>
      </c>
      <c r="T202" s="25" t="s">
        <v>264</v>
      </c>
      <c r="U202" s="28" t="e">
        <f>S202*9/S200</f>
        <v>#REF!</v>
      </c>
      <c r="W202" s="22">
        <f>AB202</f>
        <v>26.321428571428573</v>
      </c>
      <c r="X202" s="37" t="s">
        <v>318</v>
      </c>
      <c r="Y202" s="24">
        <f>(C201+C202+G201+G202+G204+I200+K200+K201)/100</f>
        <v>1.76</v>
      </c>
      <c r="Z202" s="25" t="s">
        <v>262</v>
      </c>
      <c r="AA202" s="26" t="s">
        <v>319</v>
      </c>
      <c r="AB202" s="27">
        <f>Y201*5+Y204*4+Y205*5</f>
        <v>26.321428571428573</v>
      </c>
      <c r="AC202" s="25" t="s">
        <v>264</v>
      </c>
      <c r="AD202" s="28">
        <f>AB202*9/AB200</f>
        <v>0.27481785151798233</v>
      </c>
    </row>
    <row r="203" spans="1:30" ht="16.2" customHeight="1">
      <c r="A203" s="227"/>
      <c r="B203" s="124" t="s">
        <v>385</v>
      </c>
      <c r="C203" s="38">
        <v>0.5</v>
      </c>
      <c r="D203" s="79"/>
      <c r="E203" s="145"/>
      <c r="F203" s="13" t="s">
        <v>355</v>
      </c>
      <c r="G203" s="35">
        <v>8</v>
      </c>
      <c r="H203" s="39"/>
      <c r="I203" s="14"/>
      <c r="J203" s="165" t="s">
        <v>308</v>
      </c>
      <c r="K203" s="82">
        <v>0.35</v>
      </c>
      <c r="L203" s="84"/>
      <c r="M203" s="85"/>
      <c r="N203" s="36" t="s">
        <v>260</v>
      </c>
      <c r="O203" s="41" t="s">
        <v>261</v>
      </c>
      <c r="P203" s="42">
        <v>0</v>
      </c>
      <c r="Q203" s="25" t="s">
        <v>262</v>
      </c>
      <c r="R203" s="26" t="s">
        <v>263</v>
      </c>
      <c r="S203" s="27" t="e">
        <f>P200*2+P201*7+P202*1+P204*8</f>
        <v>#REF!</v>
      </c>
      <c r="T203" s="25" t="s">
        <v>264</v>
      </c>
      <c r="U203" s="28" t="e">
        <f>S203*4/S200</f>
        <v>#REF!</v>
      </c>
      <c r="W203" s="36" t="s">
        <v>260</v>
      </c>
      <c r="X203" s="49" t="s">
        <v>261</v>
      </c>
      <c r="Y203" s="42">
        <v>0</v>
      </c>
      <c r="Z203" s="25" t="s">
        <v>262</v>
      </c>
      <c r="AA203" s="26" t="s">
        <v>263</v>
      </c>
      <c r="AB203" s="27">
        <f>Y200*2+Y201*7+Y202*1+Y204*8</f>
        <v>36.594313725490196</v>
      </c>
      <c r="AC203" s="25" t="s">
        <v>264</v>
      </c>
      <c r="AD203" s="28">
        <f>AB203*4/AB200</f>
        <v>0.16981129439035025</v>
      </c>
    </row>
    <row r="204" spans="1:30" ht="16.2" customHeight="1">
      <c r="A204" s="227" t="s">
        <v>401</v>
      </c>
      <c r="B204" s="124"/>
      <c r="C204" s="125"/>
      <c r="D204" s="166"/>
      <c r="E204" s="145"/>
      <c r="F204" s="39" t="s">
        <v>423</v>
      </c>
      <c r="G204" s="35">
        <v>3</v>
      </c>
      <c r="H204" s="39"/>
      <c r="I204" s="14"/>
      <c r="L204" s="84"/>
      <c r="M204" s="85"/>
      <c r="N204" s="22" t="e">
        <f>S203</f>
        <v>#REF!</v>
      </c>
      <c r="O204" s="49" t="s">
        <v>9</v>
      </c>
      <c r="P204" s="42">
        <v>0</v>
      </c>
      <c r="Q204" s="25" t="s">
        <v>262</v>
      </c>
      <c r="R204" s="50"/>
      <c r="S204" s="50"/>
      <c r="T204" s="50"/>
      <c r="U204" s="51" t="e">
        <f>SUM(U201:U203)</f>
        <v>#REF!</v>
      </c>
      <c r="W204" s="22">
        <f>AB203</f>
        <v>36.594313725490196</v>
      </c>
      <c r="X204" s="49" t="s">
        <v>9</v>
      </c>
      <c r="Y204" s="42">
        <v>0</v>
      </c>
      <c r="Z204" s="25" t="s">
        <v>262</v>
      </c>
      <c r="AA204" s="50"/>
      <c r="AB204" s="50"/>
      <c r="AC204" s="50"/>
      <c r="AD204" s="51">
        <f>SUM(AD201:AD203)</f>
        <v>1</v>
      </c>
    </row>
    <row r="205" spans="1:30" ht="16.2" customHeight="1">
      <c r="A205" s="227"/>
      <c r="B205" s="124"/>
      <c r="C205" s="125"/>
      <c r="D205" s="167"/>
      <c r="E205" s="38"/>
      <c r="F205" s="39" t="s">
        <v>490</v>
      </c>
      <c r="G205" s="168">
        <v>5</v>
      </c>
      <c r="H205" s="39"/>
      <c r="I205" s="14"/>
      <c r="J205" s="39"/>
      <c r="K205" s="14"/>
      <c r="L205" s="84"/>
      <c r="M205" s="85"/>
      <c r="N205" s="36" t="s">
        <v>272</v>
      </c>
      <c r="O205" s="55" t="s">
        <v>269</v>
      </c>
      <c r="P205" s="42">
        <v>2.5</v>
      </c>
      <c r="Q205" s="25" t="s">
        <v>262</v>
      </c>
      <c r="R205" s="56"/>
      <c r="S205" s="56"/>
      <c r="T205" s="56"/>
      <c r="U205" s="57"/>
      <c r="W205" s="36" t="s">
        <v>272</v>
      </c>
      <c r="X205" s="55" t="s">
        <v>269</v>
      </c>
      <c r="Y205" s="42">
        <v>2.4</v>
      </c>
      <c r="Z205" s="25" t="s">
        <v>262</v>
      </c>
      <c r="AA205" s="56"/>
      <c r="AB205" s="56"/>
      <c r="AC205" s="56"/>
      <c r="AD205" s="57"/>
    </row>
    <row r="206" spans="1:30" ht="16.2" customHeight="1" thickBot="1">
      <c r="A206" s="228"/>
      <c r="B206" s="234" t="s">
        <v>194</v>
      </c>
      <c r="C206" s="235"/>
      <c r="D206" s="234" t="s">
        <v>591</v>
      </c>
      <c r="E206" s="235"/>
      <c r="F206" s="234" t="s">
        <v>195</v>
      </c>
      <c r="G206" s="235"/>
      <c r="H206" s="223" t="s">
        <v>197</v>
      </c>
      <c r="I206" s="224"/>
      <c r="J206" s="223" t="s">
        <v>196</v>
      </c>
      <c r="K206" s="224"/>
      <c r="L206" s="223" t="s">
        <v>198</v>
      </c>
      <c r="M206" s="224"/>
      <c r="N206" s="65" t="e">
        <f>P206</f>
        <v>#REF!</v>
      </c>
      <c r="O206" s="59" t="s">
        <v>273</v>
      </c>
      <c r="P206" s="60" t="e">
        <f>P200*68+P201*73+P202*24+P203*60+P204*112+P205*45</f>
        <v>#REF!</v>
      </c>
      <c r="Q206" s="61" t="s">
        <v>274</v>
      </c>
      <c r="R206" s="62"/>
      <c r="S206" s="62"/>
      <c r="T206" s="62"/>
      <c r="U206" s="63"/>
      <c r="W206" s="65">
        <f>Y206</f>
        <v>861.99952380952379</v>
      </c>
      <c r="X206" s="59" t="s">
        <v>273</v>
      </c>
      <c r="Y206" s="60">
        <f>Y200*68+Y201*73+Y202*24+Y203*60+Y204*112+Y205*45</f>
        <v>861.99952380952379</v>
      </c>
      <c r="Z206" s="61" t="s">
        <v>274</v>
      </c>
      <c r="AA206" s="62"/>
      <c r="AB206" s="62"/>
      <c r="AC206" s="62"/>
      <c r="AD206" s="63"/>
    </row>
    <row r="207" spans="1:30" ht="16.2" customHeight="1" thickBot="1">
      <c r="A207" s="215">
        <f>A199+1</f>
        <v>44097</v>
      </c>
      <c r="B207" s="217" t="s">
        <v>493</v>
      </c>
      <c r="C207" s="218"/>
      <c r="D207" s="250" t="s">
        <v>491</v>
      </c>
      <c r="E207" s="220"/>
      <c r="F207" s="219" t="s">
        <v>492</v>
      </c>
      <c r="G207" s="220"/>
      <c r="H207" s="217" t="s">
        <v>185</v>
      </c>
      <c r="I207" s="226"/>
      <c r="J207" s="217" t="s">
        <v>619</v>
      </c>
      <c r="K207" s="218"/>
      <c r="L207" s="239" t="s">
        <v>193</v>
      </c>
      <c r="M207" s="239"/>
      <c r="N207" s="6" t="s">
        <v>301</v>
      </c>
      <c r="O207" s="205" t="s">
        <v>302</v>
      </c>
      <c r="P207" s="206"/>
      <c r="Q207" s="207"/>
      <c r="R207" s="208" t="s">
        <v>303</v>
      </c>
      <c r="S207" s="209"/>
      <c r="T207" s="209"/>
      <c r="U207" s="210"/>
      <c r="W207" s="6" t="s">
        <v>301</v>
      </c>
      <c r="X207" s="196" t="s">
        <v>302</v>
      </c>
      <c r="Y207" s="197"/>
      <c r="Z207" s="198"/>
      <c r="AA207" s="199" t="s">
        <v>303</v>
      </c>
      <c r="AB207" s="200"/>
      <c r="AC207" s="200"/>
      <c r="AD207" s="201"/>
    </row>
    <row r="208" spans="1:30" ht="16.2" customHeight="1">
      <c r="A208" s="227"/>
      <c r="B208" s="33" t="s">
        <v>494</v>
      </c>
      <c r="C208" s="38">
        <v>90</v>
      </c>
      <c r="D208" s="33" t="s">
        <v>418</v>
      </c>
      <c r="E208" s="38">
        <v>20</v>
      </c>
      <c r="F208" s="17" t="s">
        <v>379</v>
      </c>
      <c r="G208" s="18">
        <v>40</v>
      </c>
      <c r="H208" s="130" t="s">
        <v>417</v>
      </c>
      <c r="I208" s="20">
        <v>100</v>
      </c>
      <c r="J208" s="72" t="s">
        <v>601</v>
      </c>
      <c r="K208" s="134">
        <v>20</v>
      </c>
      <c r="L208" s="91" t="s">
        <v>333</v>
      </c>
      <c r="M208" s="92">
        <v>150</v>
      </c>
      <c r="N208" s="22" t="e">
        <f>S209</f>
        <v>#REF!</v>
      </c>
      <c r="O208" s="7" t="s">
        <v>0</v>
      </c>
      <c r="P208" s="42">
        <f>K210/35+M208/20</f>
        <v>7.5</v>
      </c>
      <c r="Q208" s="9" t="s">
        <v>262</v>
      </c>
      <c r="R208" s="74" t="s">
        <v>306</v>
      </c>
      <c r="S208" s="75" t="e">
        <f>P214</f>
        <v>#REF!</v>
      </c>
      <c r="T208" s="76" t="s">
        <v>274</v>
      </c>
      <c r="U208" s="93"/>
      <c r="W208" s="22">
        <f>AB209</f>
        <v>124.03235294117647</v>
      </c>
      <c r="X208" s="7" t="s">
        <v>0</v>
      </c>
      <c r="Y208" s="8">
        <f>M208/20+E209/50+E211/85</f>
        <v>7.6588235294117641</v>
      </c>
      <c r="Z208" s="9" t="s">
        <v>262</v>
      </c>
      <c r="AA208" s="74" t="s">
        <v>306</v>
      </c>
      <c r="AB208" s="75">
        <f>Y214</f>
        <v>878.68428571428558</v>
      </c>
      <c r="AC208" s="76" t="s">
        <v>274</v>
      </c>
      <c r="AD208" s="93"/>
    </row>
    <row r="209" spans="1:30" ht="16.2" customHeight="1">
      <c r="A209" s="227"/>
      <c r="B209" s="118" t="s">
        <v>308</v>
      </c>
      <c r="C209" s="136">
        <v>0</v>
      </c>
      <c r="D209" s="127" t="s">
        <v>335</v>
      </c>
      <c r="E209" s="38">
        <v>5</v>
      </c>
      <c r="F209" s="13" t="s">
        <v>383</v>
      </c>
      <c r="G209" s="14">
        <v>20</v>
      </c>
      <c r="H209" s="87"/>
      <c r="I209" s="116"/>
      <c r="J209" s="94" t="s">
        <v>607</v>
      </c>
      <c r="K209" s="52">
        <v>5</v>
      </c>
      <c r="L209" s="84"/>
      <c r="M209" s="85"/>
      <c r="N209" s="36" t="s">
        <v>338</v>
      </c>
      <c r="O209" s="23" t="s">
        <v>5</v>
      </c>
      <c r="P209" s="24">
        <f>C208*0.68/40+G225/35+G226/35+E217/15+K211/60</f>
        <v>2.7585714285714285</v>
      </c>
      <c r="Q209" s="25" t="s">
        <v>262</v>
      </c>
      <c r="R209" s="26" t="s">
        <v>339</v>
      </c>
      <c r="S209" s="27" t="e">
        <f>P208*15+P210*5+P211*15+P212*12</f>
        <v>#REF!</v>
      </c>
      <c r="T209" s="25" t="s">
        <v>264</v>
      </c>
      <c r="U209" s="28" t="e">
        <f>S209*4/S208</f>
        <v>#REF!</v>
      </c>
      <c r="W209" s="36" t="s">
        <v>338</v>
      </c>
      <c r="X209" s="23" t="s">
        <v>5</v>
      </c>
      <c r="Y209" s="24">
        <f>C208/40+G209/35</f>
        <v>2.8214285714285712</v>
      </c>
      <c r="Z209" s="25" t="s">
        <v>262</v>
      </c>
      <c r="AA209" s="26" t="s">
        <v>339</v>
      </c>
      <c r="AB209" s="27">
        <f>Y208*15+Y210*5+Y211*15+Y212*12</f>
        <v>124.03235294117647</v>
      </c>
      <c r="AC209" s="25" t="s">
        <v>264</v>
      </c>
      <c r="AD209" s="28">
        <f>AB209*4/AB208</f>
        <v>0.56462761407119111</v>
      </c>
    </row>
    <row r="210" spans="1:30" ht="16.2" customHeight="1">
      <c r="A210" s="227"/>
      <c r="B210" s="33"/>
      <c r="C210" s="38"/>
      <c r="D210" s="127" t="s">
        <v>265</v>
      </c>
      <c r="E210" s="38">
        <v>8</v>
      </c>
      <c r="F210" s="13" t="s">
        <v>270</v>
      </c>
      <c r="G210" s="14">
        <v>6</v>
      </c>
      <c r="H210" s="33"/>
      <c r="I210" s="14"/>
      <c r="J210" s="79"/>
      <c r="K210" s="88"/>
      <c r="L210" s="84"/>
      <c r="M210" s="85"/>
      <c r="N210" s="22">
        <f>S210</f>
        <v>26.292857142857144</v>
      </c>
      <c r="O210" s="37" t="s">
        <v>318</v>
      </c>
      <c r="P210" s="24" t="e">
        <f>(G224+E216+#REF!+I208+K208+K209)/100</f>
        <v>#REF!</v>
      </c>
      <c r="Q210" s="25" t="s">
        <v>262</v>
      </c>
      <c r="R210" s="26" t="s">
        <v>319</v>
      </c>
      <c r="S210" s="27">
        <f>P209*5+P212*4+P213*5</f>
        <v>26.292857142857144</v>
      </c>
      <c r="T210" s="25" t="s">
        <v>264</v>
      </c>
      <c r="U210" s="28" t="e">
        <f>S210*9/S208</f>
        <v>#REF!</v>
      </c>
      <c r="W210" s="22">
        <f>AB210</f>
        <v>26.107142857142854</v>
      </c>
      <c r="X210" s="37" t="s">
        <v>318</v>
      </c>
      <c r="Y210" s="24">
        <f>(E208+E210+G208+G210+G211+G212+I208)/100</f>
        <v>1.83</v>
      </c>
      <c r="Z210" s="25" t="s">
        <v>262</v>
      </c>
      <c r="AA210" s="26" t="s">
        <v>319</v>
      </c>
      <c r="AB210" s="27">
        <f>Y209*5+Y212*4+Y213*5</f>
        <v>26.107142857142854</v>
      </c>
      <c r="AC210" s="25" t="s">
        <v>264</v>
      </c>
      <c r="AD210" s="28">
        <f>AB210*9/AB208</f>
        <v>0.26740467484664571</v>
      </c>
    </row>
    <row r="211" spans="1:30" ht="16.2" customHeight="1">
      <c r="A211" s="227"/>
      <c r="B211" s="33"/>
      <c r="C211" s="38"/>
      <c r="D211" s="13" t="s">
        <v>400</v>
      </c>
      <c r="E211" s="38">
        <v>5</v>
      </c>
      <c r="F211" s="127" t="s">
        <v>265</v>
      </c>
      <c r="G211" s="38">
        <v>6</v>
      </c>
      <c r="H211" s="87"/>
      <c r="I211" s="14"/>
      <c r="J211" s="79"/>
      <c r="K211" s="48"/>
      <c r="L211" s="89"/>
      <c r="M211" s="32"/>
      <c r="N211" s="36" t="s">
        <v>260</v>
      </c>
      <c r="O211" s="41" t="s">
        <v>261</v>
      </c>
      <c r="P211" s="42">
        <v>0</v>
      </c>
      <c r="Q211" s="25" t="s">
        <v>262</v>
      </c>
      <c r="R211" s="26" t="s">
        <v>263</v>
      </c>
      <c r="S211" s="27" t="e">
        <f>P208*2+P209*7+P210*1+P212*8</f>
        <v>#REF!</v>
      </c>
      <c r="T211" s="25" t="s">
        <v>264</v>
      </c>
      <c r="U211" s="28" t="e">
        <f>S211*4/S208</f>
        <v>#REF!</v>
      </c>
      <c r="W211" s="36" t="s">
        <v>260</v>
      </c>
      <c r="X211" s="49" t="s">
        <v>261</v>
      </c>
      <c r="Y211" s="42">
        <v>0</v>
      </c>
      <c r="Z211" s="25" t="s">
        <v>262</v>
      </c>
      <c r="AA211" s="26" t="s">
        <v>263</v>
      </c>
      <c r="AB211" s="27">
        <f>Y208*2+Y209*7+Y210*1+Y212*8</f>
        <v>36.897647058823523</v>
      </c>
      <c r="AC211" s="25" t="s">
        <v>264</v>
      </c>
      <c r="AD211" s="28">
        <f>AB211*4/AB208</f>
        <v>0.16796771108216324</v>
      </c>
    </row>
    <row r="212" spans="1:30" ht="16.2" customHeight="1">
      <c r="A212" s="227" t="s">
        <v>410</v>
      </c>
      <c r="B212" s="47"/>
      <c r="C212" s="48"/>
      <c r="D212" s="33"/>
      <c r="E212" s="38"/>
      <c r="F212" s="127" t="s">
        <v>423</v>
      </c>
      <c r="G212" s="38">
        <v>3</v>
      </c>
      <c r="H212" s="87"/>
      <c r="I212" s="14"/>
      <c r="J212" s="79"/>
      <c r="K212" s="48"/>
      <c r="L212" s="84"/>
      <c r="M212" s="85"/>
      <c r="N212" s="22" t="e">
        <f>S211</f>
        <v>#REF!</v>
      </c>
      <c r="O212" s="49" t="s">
        <v>9</v>
      </c>
      <c r="P212" s="42">
        <v>0</v>
      </c>
      <c r="Q212" s="25" t="s">
        <v>262</v>
      </c>
      <c r="R212" s="50"/>
      <c r="S212" s="50"/>
      <c r="T212" s="50"/>
      <c r="U212" s="51" t="e">
        <f>SUM(U209:U211)</f>
        <v>#REF!</v>
      </c>
      <c r="W212" s="22">
        <f>AB211</f>
        <v>36.897647058823523</v>
      </c>
      <c r="X212" s="49" t="s">
        <v>9</v>
      </c>
      <c r="Y212" s="42">
        <v>0</v>
      </c>
      <c r="Z212" s="25" t="s">
        <v>262</v>
      </c>
      <c r="AA212" s="50"/>
      <c r="AB212" s="50"/>
      <c r="AC212" s="50"/>
      <c r="AD212" s="51">
        <f>SUM(AD209:AD211)</f>
        <v>1</v>
      </c>
    </row>
    <row r="213" spans="1:30" ht="16.2" customHeight="1">
      <c r="A213" s="227"/>
      <c r="B213" s="47"/>
      <c r="C213" s="48"/>
      <c r="F213" s="21"/>
      <c r="G213" s="35"/>
      <c r="H213" s="58"/>
      <c r="I213" s="64"/>
      <c r="J213" s="118"/>
      <c r="K213" s="117"/>
      <c r="L213" s="105"/>
      <c r="M213" s="88"/>
      <c r="N213" s="36" t="s">
        <v>272</v>
      </c>
      <c r="O213" s="55" t="s">
        <v>269</v>
      </c>
      <c r="P213" s="42">
        <v>2.5</v>
      </c>
      <c r="Q213" s="25" t="s">
        <v>262</v>
      </c>
      <c r="R213" s="56"/>
      <c r="S213" s="56"/>
      <c r="T213" s="56"/>
      <c r="U213" s="57"/>
      <c r="W213" s="36" t="s">
        <v>272</v>
      </c>
      <c r="X213" s="55" t="s">
        <v>269</v>
      </c>
      <c r="Y213" s="42">
        <v>2.4</v>
      </c>
      <c r="Z213" s="25" t="s">
        <v>262</v>
      </c>
      <c r="AA213" s="56"/>
      <c r="AB213" s="56"/>
      <c r="AC213" s="56"/>
      <c r="AD213" s="57"/>
    </row>
    <row r="214" spans="1:30" ht="16.2" customHeight="1" thickBot="1">
      <c r="A214" s="228"/>
      <c r="B214" s="223" t="s">
        <v>299</v>
      </c>
      <c r="C214" s="224"/>
      <c r="D214" s="238" t="s">
        <v>275</v>
      </c>
      <c r="E214" s="237"/>
      <c r="F214" s="223" t="s">
        <v>195</v>
      </c>
      <c r="G214" s="224"/>
      <c r="H214" s="223" t="s">
        <v>197</v>
      </c>
      <c r="I214" s="224"/>
      <c r="J214" s="234" t="s">
        <v>196</v>
      </c>
      <c r="K214" s="235"/>
      <c r="L214" s="223" t="s">
        <v>198</v>
      </c>
      <c r="M214" s="224"/>
      <c r="N214" s="65" t="e">
        <f>P214</f>
        <v>#REF!</v>
      </c>
      <c r="O214" s="59" t="s">
        <v>273</v>
      </c>
      <c r="P214" s="60" t="e">
        <f>P208*68+P209*73+P210*24+P211*60+P212*112+P213*45</f>
        <v>#REF!</v>
      </c>
      <c r="Q214" s="61" t="s">
        <v>274</v>
      </c>
      <c r="R214" s="62"/>
      <c r="S214" s="62"/>
      <c r="T214" s="62"/>
      <c r="U214" s="63"/>
      <c r="W214" s="65">
        <f>Y214</f>
        <v>878.68428571428558</v>
      </c>
      <c r="X214" s="59" t="s">
        <v>273</v>
      </c>
      <c r="Y214" s="60">
        <f>Y208*68+Y209*73+Y210*24+Y211*60+Y212*112+Y213*45</f>
        <v>878.68428571428558</v>
      </c>
      <c r="Z214" s="61" t="s">
        <v>274</v>
      </c>
      <c r="AA214" s="62"/>
      <c r="AB214" s="62"/>
      <c r="AC214" s="62"/>
      <c r="AD214" s="63"/>
    </row>
    <row r="215" spans="1:30" ht="16.2" customHeight="1" thickBot="1">
      <c r="A215" s="215">
        <f>A207+1</f>
        <v>44098</v>
      </c>
      <c r="B215" s="217" t="s">
        <v>495</v>
      </c>
      <c r="C215" s="218"/>
      <c r="D215" s="250" t="s">
        <v>496</v>
      </c>
      <c r="E215" s="220"/>
      <c r="F215" s="219" t="s">
        <v>497</v>
      </c>
      <c r="G215" s="220"/>
      <c r="H215" s="217" t="s">
        <v>185</v>
      </c>
      <c r="I215" s="226"/>
      <c r="J215" s="217" t="s">
        <v>498</v>
      </c>
      <c r="K215" s="218"/>
      <c r="L215" s="221" t="s">
        <v>187</v>
      </c>
      <c r="M215" s="222"/>
      <c r="N215" s="6" t="s">
        <v>301</v>
      </c>
      <c r="O215" s="205" t="s">
        <v>302</v>
      </c>
      <c r="P215" s="206"/>
      <c r="Q215" s="207"/>
      <c r="R215" s="208" t="s">
        <v>303</v>
      </c>
      <c r="S215" s="209"/>
      <c r="T215" s="209"/>
      <c r="U215" s="210"/>
      <c r="W215" s="6" t="s">
        <v>301</v>
      </c>
      <c r="X215" s="196" t="s">
        <v>302</v>
      </c>
      <c r="Y215" s="197"/>
      <c r="Z215" s="198"/>
      <c r="AA215" s="199" t="s">
        <v>303</v>
      </c>
      <c r="AB215" s="200"/>
      <c r="AC215" s="200"/>
      <c r="AD215" s="201"/>
    </row>
    <row r="216" spans="1:30" ht="16.2" customHeight="1">
      <c r="A216" s="227"/>
      <c r="B216" s="94" t="s">
        <v>328</v>
      </c>
      <c r="C216" s="131">
        <v>80</v>
      </c>
      <c r="D216" s="133" t="s">
        <v>386</v>
      </c>
      <c r="E216" s="121">
        <v>15</v>
      </c>
      <c r="F216" s="15" t="s">
        <v>420</v>
      </c>
      <c r="G216" s="16">
        <v>20</v>
      </c>
      <c r="H216" s="19" t="s">
        <v>443</v>
      </c>
      <c r="I216" s="121">
        <v>120</v>
      </c>
      <c r="J216" s="17" t="s">
        <v>382</v>
      </c>
      <c r="K216" s="18">
        <v>3</v>
      </c>
      <c r="L216" s="21" t="s">
        <v>333</v>
      </c>
      <c r="M216" s="18">
        <v>110</v>
      </c>
      <c r="N216" s="22" t="e">
        <f>S217</f>
        <v>#REF!</v>
      </c>
      <c r="O216" s="7" t="s">
        <v>0</v>
      </c>
      <c r="P216" s="42">
        <f>G211/35+M216/20</f>
        <v>5.6714285714285717</v>
      </c>
      <c r="Q216" s="9" t="s">
        <v>262</v>
      </c>
      <c r="R216" s="74" t="s">
        <v>306</v>
      </c>
      <c r="S216" s="75" t="e">
        <f>P222</f>
        <v>#REF!</v>
      </c>
      <c r="T216" s="76" t="s">
        <v>274</v>
      </c>
      <c r="U216" s="77" t="s">
        <v>334</v>
      </c>
      <c r="W216" s="22">
        <f>AB217</f>
        <v>121.45</v>
      </c>
      <c r="X216" s="7" t="s">
        <v>0</v>
      </c>
      <c r="Y216" s="8">
        <f>M216/20+M217/20</f>
        <v>7.5</v>
      </c>
      <c r="Z216" s="9" t="s">
        <v>262</v>
      </c>
      <c r="AA216" s="74" t="s">
        <v>306</v>
      </c>
      <c r="AB216" s="75">
        <f>Y222</f>
        <v>868.22785714285715</v>
      </c>
      <c r="AC216" s="76" t="s">
        <v>274</v>
      </c>
      <c r="AD216" s="77" t="s">
        <v>334</v>
      </c>
    </row>
    <row r="217" spans="1:30" ht="16.2" customHeight="1">
      <c r="A217" s="227"/>
      <c r="B217" s="169" t="s">
        <v>308</v>
      </c>
      <c r="C217" s="170">
        <v>0</v>
      </c>
      <c r="D217" s="149" t="s">
        <v>355</v>
      </c>
      <c r="E217" s="48">
        <v>15</v>
      </c>
      <c r="F217" s="33" t="s">
        <v>455</v>
      </c>
      <c r="G217" s="38">
        <v>20</v>
      </c>
      <c r="H217" s="118"/>
      <c r="I217" s="117"/>
      <c r="J217" s="13" t="s">
        <v>347</v>
      </c>
      <c r="K217" s="14">
        <v>8</v>
      </c>
      <c r="L217" s="21" t="s">
        <v>337</v>
      </c>
      <c r="M217" s="35">
        <v>40</v>
      </c>
      <c r="N217" s="36" t="s">
        <v>338</v>
      </c>
      <c r="O217" s="23" t="s">
        <v>5</v>
      </c>
      <c r="P217" s="24" t="e">
        <f>C216/35+#REF!/80+#REF!/35</f>
        <v>#REF!</v>
      </c>
      <c r="Q217" s="25" t="s">
        <v>262</v>
      </c>
      <c r="R217" s="26" t="s">
        <v>339</v>
      </c>
      <c r="S217" s="27" t="e">
        <f>P216*15+P218*5+P219*15+P220*12</f>
        <v>#REF!</v>
      </c>
      <c r="T217" s="25" t="s">
        <v>264</v>
      </c>
      <c r="U217" s="28" t="e">
        <f>S217*4/S216</f>
        <v>#REF!</v>
      </c>
      <c r="W217" s="36" t="s">
        <v>338</v>
      </c>
      <c r="X217" s="23" t="s">
        <v>5</v>
      </c>
      <c r="Y217" s="24">
        <f>C216/35+E217/35+G218/40</f>
        <v>2.839285714285714</v>
      </c>
      <c r="Z217" s="25" t="s">
        <v>262</v>
      </c>
      <c r="AA217" s="26" t="s">
        <v>339</v>
      </c>
      <c r="AB217" s="27">
        <f>Y216*15+Y218*5+Y219*15+Y220*12</f>
        <v>121.45</v>
      </c>
      <c r="AC217" s="25" t="s">
        <v>264</v>
      </c>
      <c r="AD217" s="28">
        <f>AB217*4/AB216</f>
        <v>0.55953053798418617</v>
      </c>
    </row>
    <row r="218" spans="1:30" ht="16.2" customHeight="1">
      <c r="A218" s="227"/>
      <c r="B218" s="33"/>
      <c r="C218" s="38"/>
      <c r="D218" s="54" t="s">
        <v>430</v>
      </c>
      <c r="E218" s="32">
        <v>8</v>
      </c>
      <c r="F218" s="33" t="s">
        <v>499</v>
      </c>
      <c r="G218" s="38">
        <v>5</v>
      </c>
      <c r="H218" s="21"/>
      <c r="I218" s="35"/>
      <c r="J218" s="54" t="s">
        <v>458</v>
      </c>
      <c r="K218" s="38">
        <v>0.5</v>
      </c>
      <c r="L218" s="84"/>
      <c r="M218" s="85"/>
      <c r="N218" s="22" t="e">
        <f>S218</f>
        <v>#REF!</v>
      </c>
      <c r="O218" s="37" t="s">
        <v>318</v>
      </c>
      <c r="P218" s="24" t="e">
        <f>(G208+G209+G210+E219+I216+K200+K201+#REF!)/100</f>
        <v>#REF!</v>
      </c>
      <c r="Q218" s="25" t="s">
        <v>262</v>
      </c>
      <c r="R218" s="26" t="s">
        <v>319</v>
      </c>
      <c r="S218" s="27" t="e">
        <f>P217*5+P220*4+P221*5</f>
        <v>#REF!</v>
      </c>
      <c r="T218" s="25" t="s">
        <v>264</v>
      </c>
      <c r="U218" s="28" t="e">
        <f>S218*9/S216</f>
        <v>#REF!</v>
      </c>
      <c r="W218" s="22">
        <f>AB218</f>
        <v>26.196428571428569</v>
      </c>
      <c r="X218" s="37" t="s">
        <v>318</v>
      </c>
      <c r="Y218" s="24">
        <f>(E218+E219+G216+G217+G219+I216+K216)/100</f>
        <v>1.79</v>
      </c>
      <c r="Z218" s="25" t="s">
        <v>262</v>
      </c>
      <c r="AA218" s="26" t="s">
        <v>319</v>
      </c>
      <c r="AB218" s="27">
        <f>Y217*5+Y220*4+Y221*5</f>
        <v>26.196428571428569</v>
      </c>
      <c r="AC218" s="25" t="s">
        <v>264</v>
      </c>
      <c r="AD218" s="28">
        <f>AB218*9/AB216</f>
        <v>0.27155067094796542</v>
      </c>
    </row>
    <row r="219" spans="1:30" ht="16.2" customHeight="1">
      <c r="A219" s="227"/>
      <c r="B219" s="33"/>
      <c r="C219" s="38"/>
      <c r="D219" s="54" t="s">
        <v>265</v>
      </c>
      <c r="E219" s="35">
        <v>3</v>
      </c>
      <c r="F219" s="47" t="s">
        <v>265</v>
      </c>
      <c r="G219" s="171">
        <v>5</v>
      </c>
      <c r="H219" s="47"/>
      <c r="I219" s="48"/>
      <c r="J219" s="13"/>
      <c r="K219" s="35"/>
      <c r="L219" s="84"/>
      <c r="M219" s="85"/>
      <c r="N219" s="36" t="s">
        <v>260</v>
      </c>
      <c r="O219" s="41" t="s">
        <v>261</v>
      </c>
      <c r="P219" s="42">
        <v>0</v>
      </c>
      <c r="Q219" s="25" t="s">
        <v>262</v>
      </c>
      <c r="R219" s="26" t="s">
        <v>263</v>
      </c>
      <c r="S219" s="27" t="e">
        <f>P216*2+P217*7+P218*1+P220*8</f>
        <v>#REF!</v>
      </c>
      <c r="T219" s="25" t="s">
        <v>264</v>
      </c>
      <c r="U219" s="28" t="e">
        <f>S219*4/S216</f>
        <v>#REF!</v>
      </c>
      <c r="W219" s="36" t="s">
        <v>260</v>
      </c>
      <c r="X219" s="49" t="s">
        <v>261</v>
      </c>
      <c r="Y219" s="42">
        <v>0</v>
      </c>
      <c r="Z219" s="25" t="s">
        <v>262</v>
      </c>
      <c r="AA219" s="26" t="s">
        <v>263</v>
      </c>
      <c r="AB219" s="27">
        <f>Y216*2+Y217*7+Y218*1+Y220*8</f>
        <v>36.664999999999999</v>
      </c>
      <c r="AC219" s="25" t="s">
        <v>264</v>
      </c>
      <c r="AD219" s="28">
        <f>AB219*4/AB216</f>
        <v>0.16891879106784838</v>
      </c>
    </row>
    <row r="220" spans="1:30" ht="16.2" customHeight="1">
      <c r="A220" s="227" t="s">
        <v>345</v>
      </c>
      <c r="B220" s="47"/>
      <c r="C220" s="48"/>
      <c r="D220" s="152" t="s">
        <v>361</v>
      </c>
      <c r="E220" s="14">
        <v>1</v>
      </c>
      <c r="F220" s="33"/>
      <c r="G220" s="38"/>
      <c r="H220" s="31"/>
      <c r="I220" s="140"/>
      <c r="J220" s="39"/>
      <c r="K220" s="35"/>
      <c r="L220" s="84"/>
      <c r="M220" s="85"/>
      <c r="N220" s="22" t="e">
        <f>S219</f>
        <v>#REF!</v>
      </c>
      <c r="O220" s="49" t="s">
        <v>9</v>
      </c>
      <c r="P220" s="42">
        <v>0</v>
      </c>
      <c r="Q220" s="25" t="s">
        <v>262</v>
      </c>
      <c r="R220" s="50"/>
      <c r="S220" s="50"/>
      <c r="T220" s="50"/>
      <c r="U220" s="51" t="e">
        <f>SUM(U217:U219)</f>
        <v>#REF!</v>
      </c>
      <c r="W220" s="22">
        <f>AB219</f>
        <v>36.664999999999999</v>
      </c>
      <c r="X220" s="49" t="s">
        <v>9</v>
      </c>
      <c r="Y220" s="42">
        <v>0</v>
      </c>
      <c r="Z220" s="25" t="s">
        <v>262</v>
      </c>
      <c r="AA220" s="50"/>
      <c r="AB220" s="50"/>
      <c r="AC220" s="50"/>
      <c r="AD220" s="51">
        <f>SUM(AD217:AD219)</f>
        <v>0.99999999999999989</v>
      </c>
    </row>
    <row r="221" spans="1:30" ht="16.2" customHeight="1">
      <c r="A221" s="227"/>
      <c r="B221" s="47"/>
      <c r="C221" s="48"/>
      <c r="D221" s="152"/>
      <c r="E221" s="14"/>
      <c r="F221" s="33"/>
      <c r="G221" s="38"/>
      <c r="H221" s="31"/>
      <c r="I221" s="140"/>
      <c r="J221" s="39"/>
      <c r="K221" s="14"/>
      <c r="L221" s="84"/>
      <c r="M221" s="85"/>
      <c r="N221" s="36" t="s">
        <v>272</v>
      </c>
      <c r="O221" s="55" t="s">
        <v>269</v>
      </c>
      <c r="P221" s="42">
        <v>2.5</v>
      </c>
      <c r="Q221" s="25" t="s">
        <v>262</v>
      </c>
      <c r="R221" s="56"/>
      <c r="S221" s="56"/>
      <c r="T221" s="56"/>
      <c r="U221" s="57"/>
      <c r="W221" s="36" t="s">
        <v>272</v>
      </c>
      <c r="X221" s="55" t="s">
        <v>269</v>
      </c>
      <c r="Y221" s="42">
        <v>2.4</v>
      </c>
      <c r="Z221" s="25" t="s">
        <v>262</v>
      </c>
      <c r="AA221" s="56"/>
      <c r="AB221" s="56"/>
      <c r="AC221" s="56"/>
      <c r="AD221" s="57"/>
    </row>
    <row r="222" spans="1:30" ht="16.2" customHeight="1" thickBot="1">
      <c r="A222" s="228"/>
      <c r="B222" s="234" t="s">
        <v>194</v>
      </c>
      <c r="C222" s="235"/>
      <c r="D222" s="251" t="s">
        <v>275</v>
      </c>
      <c r="E222" s="252"/>
      <c r="F222" s="234" t="s">
        <v>195</v>
      </c>
      <c r="G222" s="235"/>
      <c r="H222" s="223" t="s">
        <v>197</v>
      </c>
      <c r="I222" s="224"/>
      <c r="J222" s="223" t="s">
        <v>196</v>
      </c>
      <c r="K222" s="224"/>
      <c r="L222" s="223" t="s">
        <v>198</v>
      </c>
      <c r="M222" s="224"/>
      <c r="N222" s="65" t="e">
        <f>P222</f>
        <v>#REF!</v>
      </c>
      <c r="O222" s="59" t="s">
        <v>273</v>
      </c>
      <c r="P222" s="60" t="e">
        <f>P216*68+P217*73+P218*24+P219*60+P220*112+P221*45</f>
        <v>#REF!</v>
      </c>
      <c r="Q222" s="61" t="s">
        <v>274</v>
      </c>
      <c r="R222" s="62"/>
      <c r="S222" s="62"/>
      <c r="T222" s="62"/>
      <c r="U222" s="63"/>
      <c r="W222" s="65">
        <f>Y222</f>
        <v>868.22785714285715</v>
      </c>
      <c r="X222" s="59" t="s">
        <v>273</v>
      </c>
      <c r="Y222" s="60">
        <f>Y216*68+Y217*73+Y218*24+Y219*60+Y220*112+Y221*45</f>
        <v>868.22785714285715</v>
      </c>
      <c r="Z222" s="61" t="s">
        <v>274</v>
      </c>
      <c r="AA222" s="62"/>
      <c r="AB222" s="62"/>
      <c r="AC222" s="62"/>
      <c r="AD222" s="63"/>
    </row>
    <row r="223" spans="1:30" ht="16.2" customHeight="1" thickBot="1">
      <c r="A223" s="215">
        <f>A215+1</f>
        <v>44099</v>
      </c>
      <c r="B223" s="219" t="s">
        <v>500</v>
      </c>
      <c r="C223" s="220"/>
      <c r="D223" s="219" t="s">
        <v>501</v>
      </c>
      <c r="E223" s="220"/>
      <c r="F223" s="221" t="s">
        <v>502</v>
      </c>
      <c r="G223" s="222"/>
      <c r="H223" s="217" t="s">
        <v>185</v>
      </c>
      <c r="I223" s="226"/>
      <c r="J223" s="217" t="s">
        <v>503</v>
      </c>
      <c r="K223" s="218"/>
      <c r="L223" s="226" t="s">
        <v>521</v>
      </c>
      <c r="M223" s="239"/>
      <c r="N223" s="6" t="s">
        <v>301</v>
      </c>
      <c r="O223" s="205" t="s">
        <v>302</v>
      </c>
      <c r="P223" s="206"/>
      <c r="Q223" s="207"/>
      <c r="R223" s="208" t="s">
        <v>303</v>
      </c>
      <c r="S223" s="209"/>
      <c r="T223" s="209"/>
      <c r="U223" s="210"/>
      <c r="W223" s="6" t="s">
        <v>301</v>
      </c>
      <c r="X223" s="196" t="s">
        <v>302</v>
      </c>
      <c r="Y223" s="197"/>
      <c r="Z223" s="198"/>
      <c r="AA223" s="199" t="s">
        <v>303</v>
      </c>
      <c r="AB223" s="200"/>
      <c r="AC223" s="200"/>
      <c r="AD223" s="201"/>
    </row>
    <row r="224" spans="1:30" ht="16.2" customHeight="1">
      <c r="A224" s="227"/>
      <c r="B224" s="33" t="s">
        <v>433</v>
      </c>
      <c r="C224" s="38">
        <v>120</v>
      </c>
      <c r="D224" s="33" t="s">
        <v>441</v>
      </c>
      <c r="E224" s="114">
        <v>45</v>
      </c>
      <c r="F224" s="113" t="s">
        <v>504</v>
      </c>
      <c r="G224" s="114">
        <v>40</v>
      </c>
      <c r="H224" s="15" t="s">
        <v>467</v>
      </c>
      <c r="I224" s="114">
        <v>100</v>
      </c>
      <c r="J224" s="69" t="s">
        <v>505</v>
      </c>
      <c r="K224" s="70">
        <v>20</v>
      </c>
      <c r="L224" s="174" t="s">
        <v>241</v>
      </c>
      <c r="M224" s="92">
        <v>140</v>
      </c>
      <c r="N224" s="22" t="e">
        <f>S225</f>
        <v>#REF!</v>
      </c>
      <c r="O224" s="7" t="s">
        <v>0</v>
      </c>
      <c r="P224" s="42">
        <f>G229/55+M224/20+M225/20</f>
        <v>7</v>
      </c>
      <c r="Q224" s="9" t="s">
        <v>262</v>
      </c>
      <c r="R224" s="74" t="s">
        <v>306</v>
      </c>
      <c r="S224" s="75" t="e">
        <f>P230</f>
        <v>#REF!</v>
      </c>
      <c r="T224" s="76" t="s">
        <v>274</v>
      </c>
      <c r="U224" s="93"/>
      <c r="W224" s="22">
        <f>AB225</f>
        <v>121.2313725490196</v>
      </c>
      <c r="X224" s="7" t="s">
        <v>0</v>
      </c>
      <c r="Y224" s="42">
        <f>M224/20+C227/20+E225/85+E226/90</f>
        <v>7.4787581699346397</v>
      </c>
      <c r="Z224" s="9" t="s">
        <v>1</v>
      </c>
      <c r="AA224" s="74" t="s">
        <v>2</v>
      </c>
      <c r="AB224" s="75">
        <f>Y230</f>
        <v>870.65269841269833</v>
      </c>
      <c r="AC224" s="76" t="s">
        <v>569</v>
      </c>
      <c r="AD224" s="93"/>
    </row>
    <row r="225" spans="1:30" ht="16.2" customHeight="1">
      <c r="A225" s="227"/>
      <c r="B225" s="81" t="s">
        <v>308</v>
      </c>
      <c r="C225" s="136">
        <v>0.4</v>
      </c>
      <c r="D225" s="33" t="s">
        <v>332</v>
      </c>
      <c r="E225" s="35">
        <v>10</v>
      </c>
      <c r="F225" s="13" t="s">
        <v>265</v>
      </c>
      <c r="G225" s="35">
        <v>5</v>
      </c>
      <c r="H225" s="33"/>
      <c r="I225" s="38"/>
      <c r="J225" s="21" t="s">
        <v>430</v>
      </c>
      <c r="K225" s="35">
        <v>15</v>
      </c>
      <c r="L225" s="175"/>
      <c r="M225" s="85"/>
      <c r="N225" s="36" t="s">
        <v>338</v>
      </c>
      <c r="O225" s="23" t="s">
        <v>5</v>
      </c>
      <c r="P225" s="24" t="e">
        <f>C224*0.58/40+E226/55+#REF!*0.52/35+#REF!/80</f>
        <v>#REF!</v>
      </c>
      <c r="Q225" s="25" t="s">
        <v>262</v>
      </c>
      <c r="R225" s="26" t="s">
        <v>339</v>
      </c>
      <c r="S225" s="27" t="e">
        <f>P224*15+P226*5+P227*15+P228*12</f>
        <v>#REF!</v>
      </c>
      <c r="T225" s="25" t="s">
        <v>264</v>
      </c>
      <c r="U225" s="28" t="e">
        <f>S225*4/S224</f>
        <v>#REF!</v>
      </c>
      <c r="W225" s="36" t="s">
        <v>338</v>
      </c>
      <c r="X225" s="23" t="s">
        <v>5</v>
      </c>
      <c r="Y225" s="24">
        <f>C224*0.6/40+E224/55+K224/110+G226/35</f>
        <v>2.8857142857142857</v>
      </c>
      <c r="Z225" s="25" t="s">
        <v>571</v>
      </c>
      <c r="AA225" s="26" t="s">
        <v>572</v>
      </c>
      <c r="AB225" s="27">
        <f>Y224*15+Y226*5+Y227*15+Y228*12</f>
        <v>121.2313725490196</v>
      </c>
      <c r="AC225" s="25" t="s">
        <v>573</v>
      </c>
      <c r="AD225" s="28">
        <f>AB225*4/AB224</f>
        <v>0.55696776806659443</v>
      </c>
    </row>
    <row r="226" spans="1:30" ht="16.2" customHeight="1">
      <c r="A226" s="227"/>
      <c r="B226" s="94" t="s">
        <v>343</v>
      </c>
      <c r="C226" s="38">
        <v>8</v>
      </c>
      <c r="D226" s="33" t="s">
        <v>336</v>
      </c>
      <c r="E226" s="35">
        <v>10</v>
      </c>
      <c r="F226" s="21" t="s">
        <v>355</v>
      </c>
      <c r="G226" s="35">
        <v>3</v>
      </c>
      <c r="H226" s="33"/>
      <c r="I226" s="35"/>
      <c r="J226" s="83" t="s">
        <v>402</v>
      </c>
      <c r="K226" s="38">
        <v>5</v>
      </c>
      <c r="L226" s="175"/>
      <c r="M226" s="85"/>
      <c r="N226" s="22" t="e">
        <f>S226</f>
        <v>#REF!</v>
      </c>
      <c r="O226" s="37" t="s">
        <v>318</v>
      </c>
      <c r="P226" s="24" t="e">
        <f>(E224+E225+E226+E227+#REF!+#REF!+I224+#REF!+#REF!)/100</f>
        <v>#REF!</v>
      </c>
      <c r="Q226" s="25" t="s">
        <v>262</v>
      </c>
      <c r="R226" s="26" t="s">
        <v>319</v>
      </c>
      <c r="S226" s="27" t="e">
        <f>P225*5+P228*4+P229*5</f>
        <v>#REF!</v>
      </c>
      <c r="T226" s="25" t="s">
        <v>264</v>
      </c>
      <c r="U226" s="28" t="e">
        <f>S226*9/S224</f>
        <v>#REF!</v>
      </c>
      <c r="W226" s="22">
        <f>AB226</f>
        <v>26.428571428571431</v>
      </c>
      <c r="X226" s="37" t="s">
        <v>574</v>
      </c>
      <c r="Y226" s="24">
        <f>(C226++C228+E227+G224+G225+I224+K226+K225)/100</f>
        <v>1.81</v>
      </c>
      <c r="Z226" s="25" t="s">
        <v>575</v>
      </c>
      <c r="AA226" s="26" t="s">
        <v>576</v>
      </c>
      <c r="AB226" s="27">
        <f>Y225*5+Y228*4+Y229*5</f>
        <v>26.428571428571431</v>
      </c>
      <c r="AC226" s="25" t="s">
        <v>577</v>
      </c>
      <c r="AD226" s="28">
        <f>AB226*9/AB224</f>
        <v>0.27319405693083393</v>
      </c>
    </row>
    <row r="227" spans="1:30" ht="16.2" customHeight="1">
      <c r="A227" s="227"/>
      <c r="B227" s="47" t="s">
        <v>506</v>
      </c>
      <c r="C227" s="48">
        <v>5</v>
      </c>
      <c r="D227" s="13" t="s">
        <v>246</v>
      </c>
      <c r="E227" s="35">
        <v>5</v>
      </c>
      <c r="F227" s="21"/>
      <c r="G227" s="35"/>
      <c r="H227" s="21"/>
      <c r="I227" s="35"/>
      <c r="J227" s="21" t="s">
        <v>294</v>
      </c>
      <c r="K227" s="35">
        <v>1</v>
      </c>
      <c r="L227" s="89"/>
      <c r="M227" s="32"/>
      <c r="N227" s="36" t="s">
        <v>259</v>
      </c>
      <c r="O227" s="41" t="s">
        <v>295</v>
      </c>
      <c r="P227" s="42">
        <v>0</v>
      </c>
      <c r="Q227" s="25" t="s">
        <v>242</v>
      </c>
      <c r="R227" s="26" t="s">
        <v>296</v>
      </c>
      <c r="S227" s="27" t="e">
        <f>P224*2+P225*7+P226*1+P228*8</f>
        <v>#REF!</v>
      </c>
      <c r="T227" s="25" t="s">
        <v>244</v>
      </c>
      <c r="U227" s="28" t="e">
        <f>S227*4/S224</f>
        <v>#REF!</v>
      </c>
      <c r="W227" s="36" t="s">
        <v>259</v>
      </c>
      <c r="X227" s="49" t="s">
        <v>579</v>
      </c>
      <c r="Y227" s="42">
        <v>0</v>
      </c>
      <c r="Z227" s="25" t="s">
        <v>575</v>
      </c>
      <c r="AA227" s="26" t="s">
        <v>580</v>
      </c>
      <c r="AB227" s="27">
        <f>Y224*2+Y225*7+Y226*1+Y228*8</f>
        <v>36.967516339869277</v>
      </c>
      <c r="AC227" s="25" t="s">
        <v>577</v>
      </c>
      <c r="AD227" s="28">
        <f>AB227*4/AB224</f>
        <v>0.16983817500257167</v>
      </c>
    </row>
    <row r="228" spans="1:30" ht="16.2" customHeight="1">
      <c r="A228" s="227" t="s">
        <v>507</v>
      </c>
      <c r="B228" s="54" t="s">
        <v>246</v>
      </c>
      <c r="C228" s="35">
        <v>3</v>
      </c>
      <c r="D228" s="39"/>
      <c r="E228" s="35"/>
      <c r="F228" s="33"/>
      <c r="G228" s="35"/>
      <c r="H228" s="21"/>
      <c r="I228" s="35"/>
      <c r="J228" s="21"/>
      <c r="K228" s="35"/>
      <c r="L228" s="175"/>
      <c r="M228" s="85"/>
      <c r="N228" s="22" t="e">
        <f>S227</f>
        <v>#REF!</v>
      </c>
      <c r="O228" s="49" t="s">
        <v>9</v>
      </c>
      <c r="P228" s="42">
        <v>0</v>
      </c>
      <c r="Q228" s="25" t="s">
        <v>242</v>
      </c>
      <c r="R228" s="50"/>
      <c r="S228" s="50"/>
      <c r="T228" s="50"/>
      <c r="U228" s="51" t="e">
        <f>SUM(U225:U227)</f>
        <v>#REF!</v>
      </c>
      <c r="W228" s="22">
        <f>AB227</f>
        <v>36.967516339869277</v>
      </c>
      <c r="X228" s="49" t="s">
        <v>9</v>
      </c>
      <c r="Y228" s="42">
        <v>0</v>
      </c>
      <c r="Z228" s="25" t="s">
        <v>1</v>
      </c>
      <c r="AA228" s="50"/>
      <c r="AB228" s="50"/>
      <c r="AC228" s="50"/>
      <c r="AD228" s="51">
        <f>SUM(AD225:AD227)</f>
        <v>1</v>
      </c>
    </row>
    <row r="229" spans="1:30" ht="16.2" customHeight="1">
      <c r="A229" s="227"/>
      <c r="B229" s="33"/>
      <c r="C229" s="173"/>
      <c r="D229" s="47"/>
      <c r="E229" s="48"/>
      <c r="F229" s="47"/>
      <c r="G229" s="48"/>
      <c r="H229" s="105"/>
      <c r="I229" s="88"/>
      <c r="J229" s="21"/>
      <c r="K229" s="35"/>
      <c r="L229" s="155"/>
      <c r="M229" s="88"/>
      <c r="N229" s="36" t="s">
        <v>508</v>
      </c>
      <c r="O229" s="55" t="s">
        <v>509</v>
      </c>
      <c r="P229" s="42">
        <v>2.5</v>
      </c>
      <c r="Q229" s="25" t="s">
        <v>242</v>
      </c>
      <c r="R229" s="56"/>
      <c r="S229" s="56"/>
      <c r="T229" s="56"/>
      <c r="U229" s="57"/>
      <c r="W229" s="36" t="s">
        <v>508</v>
      </c>
      <c r="X229" s="55" t="s">
        <v>11</v>
      </c>
      <c r="Y229" s="42">
        <v>2.4</v>
      </c>
      <c r="Z229" s="25" t="s">
        <v>1</v>
      </c>
      <c r="AA229" s="56"/>
      <c r="AB229" s="56"/>
      <c r="AC229" s="56"/>
      <c r="AD229" s="57"/>
    </row>
    <row r="230" spans="1:30" ht="16.649999999999999" thickBot="1">
      <c r="A230" s="228"/>
      <c r="B230" s="234" t="s">
        <v>510</v>
      </c>
      <c r="C230" s="235"/>
      <c r="D230" s="223" t="s">
        <v>511</v>
      </c>
      <c r="E230" s="224"/>
      <c r="F230" s="223" t="s">
        <v>512</v>
      </c>
      <c r="G230" s="224"/>
      <c r="H230" s="223" t="s">
        <v>513</v>
      </c>
      <c r="I230" s="224"/>
      <c r="J230" s="223" t="s">
        <v>510</v>
      </c>
      <c r="K230" s="224"/>
      <c r="L230" s="241" t="s">
        <v>548</v>
      </c>
      <c r="M230" s="224"/>
      <c r="N230" s="65" t="e">
        <f>P230</f>
        <v>#REF!</v>
      </c>
      <c r="O230" s="59" t="s">
        <v>514</v>
      </c>
      <c r="P230" s="60" t="e">
        <f>P224*68+P225*73+P226*24+P227*60+P228*112+P229*45</f>
        <v>#REF!</v>
      </c>
      <c r="Q230" s="61" t="s">
        <v>232</v>
      </c>
      <c r="R230" s="62"/>
      <c r="S230" s="62"/>
      <c r="T230" s="62"/>
      <c r="U230" s="63"/>
      <c r="W230" s="65">
        <f>Y230</f>
        <v>870.65269841269833</v>
      </c>
      <c r="X230" s="59" t="s">
        <v>13</v>
      </c>
      <c r="Y230" s="60">
        <f>Y224*68+Y225*73+Y226*24+Y227*60+Y228*112+Y229*45</f>
        <v>870.65269841269833</v>
      </c>
      <c r="Z230" s="61" t="s">
        <v>3</v>
      </c>
      <c r="AA230" s="62"/>
      <c r="AB230" s="62"/>
      <c r="AC230" s="62"/>
      <c r="AD230" s="63"/>
    </row>
    <row r="231" spans="1:30" ht="16.2" customHeight="1" thickBot="1">
      <c r="A231" s="215">
        <f>A223+1</f>
        <v>44100</v>
      </c>
      <c r="B231" s="217" t="s">
        <v>517</v>
      </c>
      <c r="C231" s="218"/>
      <c r="D231" s="217" t="s">
        <v>518</v>
      </c>
      <c r="E231" s="218"/>
      <c r="F231" s="250" t="s">
        <v>519</v>
      </c>
      <c r="G231" s="220"/>
      <c r="H231" s="217" t="s">
        <v>228</v>
      </c>
      <c r="I231" s="226"/>
      <c r="J231" s="217" t="s">
        <v>520</v>
      </c>
      <c r="K231" s="218"/>
      <c r="L231" s="226" t="s">
        <v>521</v>
      </c>
      <c r="M231" s="239"/>
      <c r="N231" s="6" t="s">
        <v>229</v>
      </c>
      <c r="O231" s="205" t="s">
        <v>522</v>
      </c>
      <c r="P231" s="206"/>
      <c r="Q231" s="207"/>
      <c r="R231" s="208" t="s">
        <v>523</v>
      </c>
      <c r="S231" s="209"/>
      <c r="T231" s="209"/>
      <c r="U231" s="210"/>
      <c r="W231" s="6" t="s">
        <v>229</v>
      </c>
      <c r="X231" s="196" t="s">
        <v>522</v>
      </c>
      <c r="Y231" s="197"/>
      <c r="Z231" s="198"/>
      <c r="AA231" s="199" t="s">
        <v>523</v>
      </c>
      <c r="AB231" s="200"/>
      <c r="AC231" s="200"/>
      <c r="AD231" s="201"/>
    </row>
    <row r="232" spans="1:30">
      <c r="A232" s="227"/>
      <c r="B232" s="166" t="s">
        <v>524</v>
      </c>
      <c r="C232" s="145">
        <v>40</v>
      </c>
      <c r="D232" s="19" t="s">
        <v>525</v>
      </c>
      <c r="E232" s="73">
        <v>40</v>
      </c>
      <c r="F232" s="153" t="s">
        <v>526</v>
      </c>
      <c r="G232" s="14">
        <v>20</v>
      </c>
      <c r="H232" s="19" t="s">
        <v>527</v>
      </c>
      <c r="I232" s="114">
        <v>100</v>
      </c>
      <c r="J232" s="17" t="s">
        <v>528</v>
      </c>
      <c r="K232" s="122">
        <v>10</v>
      </c>
      <c r="L232" s="174" t="s">
        <v>241</v>
      </c>
      <c r="M232" s="92">
        <v>150</v>
      </c>
      <c r="N232" s="22" t="e">
        <f>S233</f>
        <v>#REF!</v>
      </c>
      <c r="O232" s="7" t="s">
        <v>0</v>
      </c>
      <c r="P232" s="42">
        <f>G237/55+M232/20+M233/20</f>
        <v>7.5</v>
      </c>
      <c r="Q232" s="9" t="s">
        <v>242</v>
      </c>
      <c r="R232" s="74" t="s">
        <v>287</v>
      </c>
      <c r="S232" s="75" t="e">
        <f>P238</f>
        <v>#REF!</v>
      </c>
      <c r="T232" s="76" t="s">
        <v>516</v>
      </c>
      <c r="U232" s="93"/>
      <c r="W232" s="22">
        <f>AB233</f>
        <v>123.35</v>
      </c>
      <c r="X232" s="7" t="s">
        <v>0</v>
      </c>
      <c r="Y232" s="42">
        <f>M232/20</f>
        <v>7.5</v>
      </c>
      <c r="Z232" s="9" t="s">
        <v>230</v>
      </c>
      <c r="AA232" s="74" t="s">
        <v>231</v>
      </c>
      <c r="AB232" s="75">
        <f>Y238</f>
        <v>882.90540304523063</v>
      </c>
      <c r="AC232" s="76" t="s">
        <v>516</v>
      </c>
      <c r="AD232" s="93"/>
    </row>
    <row r="233" spans="1:30" ht="16.2" customHeight="1">
      <c r="A233" s="227"/>
      <c r="B233" s="166" t="s">
        <v>529</v>
      </c>
      <c r="C233" s="145">
        <v>20</v>
      </c>
      <c r="D233" s="106" t="s">
        <v>314</v>
      </c>
      <c r="E233" s="80">
        <v>10</v>
      </c>
      <c r="F233" s="54" t="s">
        <v>237</v>
      </c>
      <c r="G233" s="14">
        <v>30</v>
      </c>
      <c r="H233" s="33"/>
      <c r="I233" s="35"/>
      <c r="J233" s="13" t="s">
        <v>530</v>
      </c>
      <c r="K233" s="34">
        <v>10</v>
      </c>
      <c r="L233" s="175"/>
      <c r="M233" s="85"/>
      <c r="N233" s="36" t="s">
        <v>531</v>
      </c>
      <c r="O233" s="23" t="s">
        <v>5</v>
      </c>
      <c r="P233" s="24" t="e">
        <f>C232*0.58/40+E234/55+#REF!*0.52/35+#REF!/80</f>
        <v>#REF!</v>
      </c>
      <c r="Q233" s="25" t="s">
        <v>230</v>
      </c>
      <c r="R233" s="26" t="s">
        <v>532</v>
      </c>
      <c r="S233" s="27" t="e">
        <f>P232*15+P234*5+P235*15+P236*12</f>
        <v>#REF!</v>
      </c>
      <c r="T233" s="25" t="s">
        <v>256</v>
      </c>
      <c r="U233" s="28" t="e">
        <f>S233*4/S232</f>
        <v>#REF!</v>
      </c>
      <c r="W233" s="36" t="s">
        <v>531</v>
      </c>
      <c r="X233" s="23" t="s">
        <v>5</v>
      </c>
      <c r="Y233" s="24">
        <f>C232/35+C233/0.58/35+E234/55+G232/35+K232/80</f>
        <v>2.9154164800716522</v>
      </c>
      <c r="Z233" s="25" t="s">
        <v>230</v>
      </c>
      <c r="AA233" s="26" t="s">
        <v>532</v>
      </c>
      <c r="AB233" s="27">
        <f>Y232*15+Y234*5+Y235*15+Y236*12</f>
        <v>123.35</v>
      </c>
      <c r="AC233" s="25" t="s">
        <v>256</v>
      </c>
      <c r="AD233" s="28">
        <f>AB233*4/AB232</f>
        <v>0.55883676586213327</v>
      </c>
    </row>
    <row r="234" spans="1:30">
      <c r="A234" s="227"/>
      <c r="B234" s="81" t="s">
        <v>533</v>
      </c>
      <c r="C234" s="136">
        <v>0.42</v>
      </c>
      <c r="D234" s="106" t="s">
        <v>534</v>
      </c>
      <c r="E234" s="80">
        <v>5</v>
      </c>
      <c r="F234" s="13" t="s">
        <v>22</v>
      </c>
      <c r="G234" s="32">
        <v>4</v>
      </c>
      <c r="H234" s="33"/>
      <c r="I234" s="35"/>
      <c r="J234" s="21" t="s">
        <v>535</v>
      </c>
      <c r="K234" s="35">
        <v>1</v>
      </c>
      <c r="L234" s="175"/>
      <c r="M234" s="85"/>
      <c r="N234" s="22" t="e">
        <f>S234</f>
        <v>#REF!</v>
      </c>
      <c r="O234" s="37" t="s">
        <v>248</v>
      </c>
      <c r="P234" s="24" t="e">
        <f>(E232+E233+E234+E235+#REF!+#REF!+I232+#REF!+#REF!)/100</f>
        <v>#REF!</v>
      </c>
      <c r="Q234" s="25" t="s">
        <v>242</v>
      </c>
      <c r="R234" s="26" t="s">
        <v>249</v>
      </c>
      <c r="S234" s="27" t="e">
        <f>P233*5+P236*4+P237*5</f>
        <v>#REF!</v>
      </c>
      <c r="T234" s="25" t="s">
        <v>244</v>
      </c>
      <c r="U234" s="28" t="e">
        <f>S234*9/S232</f>
        <v>#REF!</v>
      </c>
      <c r="W234" s="22">
        <f>AB234</f>
        <v>26.577082400358261</v>
      </c>
      <c r="X234" s="37" t="s">
        <v>536</v>
      </c>
      <c r="Y234" s="24">
        <f>(C235+E232+E233+E235+E236+G233+G234+G235+I232+K233)/100</f>
        <v>2.17</v>
      </c>
      <c r="Z234" s="25" t="s">
        <v>230</v>
      </c>
      <c r="AA234" s="26" t="s">
        <v>537</v>
      </c>
      <c r="AB234" s="27">
        <f>Y233*5+Y236*4+Y237*5</f>
        <v>26.577082400358261</v>
      </c>
      <c r="AC234" s="25" t="s">
        <v>256</v>
      </c>
      <c r="AD234" s="28">
        <f>AB234*9/AB232</f>
        <v>0.27091661323876914</v>
      </c>
    </row>
    <row r="235" spans="1:30">
      <c r="A235" s="227"/>
      <c r="B235" s="94" t="s">
        <v>315</v>
      </c>
      <c r="C235" s="38">
        <v>8</v>
      </c>
      <c r="D235" s="106" t="s">
        <v>315</v>
      </c>
      <c r="E235" s="80">
        <v>5</v>
      </c>
      <c r="F235" s="13" t="s">
        <v>538</v>
      </c>
      <c r="G235" s="35">
        <v>5</v>
      </c>
      <c r="H235" s="21"/>
      <c r="I235" s="35"/>
      <c r="J235" s="87" t="s">
        <v>539</v>
      </c>
      <c r="K235" s="32">
        <v>5</v>
      </c>
      <c r="L235" s="89"/>
      <c r="M235" s="32"/>
      <c r="N235" s="36" t="s">
        <v>259</v>
      </c>
      <c r="O235" s="41" t="s">
        <v>295</v>
      </c>
      <c r="P235" s="42">
        <v>0</v>
      </c>
      <c r="Q235" s="25" t="s">
        <v>242</v>
      </c>
      <c r="R235" s="26" t="s">
        <v>296</v>
      </c>
      <c r="S235" s="27" t="e">
        <f>P232*2+P233*7+P234*1+P236*8</f>
        <v>#REF!</v>
      </c>
      <c r="T235" s="25" t="s">
        <v>244</v>
      </c>
      <c r="U235" s="28" t="e">
        <f>S235*4/S232</f>
        <v>#REF!</v>
      </c>
      <c r="W235" s="36" t="s">
        <v>259</v>
      </c>
      <c r="X235" s="49" t="s">
        <v>295</v>
      </c>
      <c r="Y235" s="42">
        <v>0</v>
      </c>
      <c r="Z235" s="25" t="s">
        <v>242</v>
      </c>
      <c r="AA235" s="26" t="s">
        <v>296</v>
      </c>
      <c r="AB235" s="27">
        <f>Y232*2+Y233*7+Y234*1+Y236*8</f>
        <v>37.577915360501564</v>
      </c>
      <c r="AC235" s="25" t="s">
        <v>244</v>
      </c>
      <c r="AD235" s="28">
        <f>AB235*4/AB232</f>
        <v>0.17024662089909748</v>
      </c>
    </row>
    <row r="236" spans="1:30">
      <c r="A236" s="227" t="s">
        <v>540</v>
      </c>
      <c r="B236" s="94"/>
      <c r="C236" s="38"/>
      <c r="D236" s="106" t="s">
        <v>541</v>
      </c>
      <c r="E236" s="80">
        <v>5</v>
      </c>
      <c r="F236" s="13"/>
      <c r="G236" s="35"/>
      <c r="H236" s="21"/>
      <c r="I236" s="35"/>
      <c r="J236" s="21"/>
      <c r="K236" s="35"/>
      <c r="L236" s="175"/>
      <c r="M236" s="85"/>
      <c r="N236" s="22" t="e">
        <f>S235</f>
        <v>#REF!</v>
      </c>
      <c r="O236" s="49" t="s">
        <v>9</v>
      </c>
      <c r="P236" s="42">
        <v>0</v>
      </c>
      <c r="Q236" s="25" t="s">
        <v>230</v>
      </c>
      <c r="R236" s="50"/>
      <c r="S236" s="50"/>
      <c r="T236" s="50"/>
      <c r="U236" s="51" t="e">
        <f>SUM(U233:U235)</f>
        <v>#REF!</v>
      </c>
      <c r="W236" s="22">
        <f>AB235</f>
        <v>37.577915360501564</v>
      </c>
      <c r="X236" s="49" t="s">
        <v>9</v>
      </c>
      <c r="Y236" s="42">
        <v>0</v>
      </c>
      <c r="Z236" s="25" t="s">
        <v>230</v>
      </c>
      <c r="AA236" s="50"/>
      <c r="AB236" s="50"/>
      <c r="AC236" s="50"/>
      <c r="AD236" s="51">
        <f>SUM(AD233:AD235)</f>
        <v>0.99999999999999989</v>
      </c>
    </row>
    <row r="237" spans="1:30">
      <c r="A237" s="227"/>
      <c r="B237" s="47"/>
      <c r="C237" s="48"/>
      <c r="D237" s="47"/>
      <c r="E237" s="101"/>
      <c r="F237" s="33"/>
      <c r="G237" s="38"/>
      <c r="H237" s="105"/>
      <c r="I237" s="88"/>
      <c r="J237" s="105"/>
      <c r="K237" s="88"/>
      <c r="L237" s="155"/>
      <c r="M237" s="88"/>
      <c r="N237" s="36" t="s">
        <v>542</v>
      </c>
      <c r="O237" s="55" t="s">
        <v>543</v>
      </c>
      <c r="P237" s="42">
        <v>2.5</v>
      </c>
      <c r="Q237" s="25" t="s">
        <v>230</v>
      </c>
      <c r="R237" s="56"/>
      <c r="S237" s="56"/>
      <c r="T237" s="56"/>
      <c r="U237" s="57"/>
      <c r="W237" s="36" t="s">
        <v>542</v>
      </c>
      <c r="X237" s="55" t="s">
        <v>543</v>
      </c>
      <c r="Y237" s="42">
        <v>2.4</v>
      </c>
      <c r="Z237" s="25" t="s">
        <v>230</v>
      </c>
      <c r="AA237" s="56"/>
      <c r="AB237" s="56"/>
      <c r="AC237" s="56"/>
      <c r="AD237" s="57"/>
    </row>
    <row r="238" spans="1:30" ht="16.649999999999999" thickBot="1">
      <c r="A238" s="228"/>
      <c r="B238" s="234" t="s">
        <v>544</v>
      </c>
      <c r="C238" s="235"/>
      <c r="D238" s="223" t="s">
        <v>545</v>
      </c>
      <c r="E238" s="224"/>
      <c r="F238" s="223" t="s">
        <v>546</v>
      </c>
      <c r="G238" s="224"/>
      <c r="H238" s="223" t="s">
        <v>547</v>
      </c>
      <c r="I238" s="224"/>
      <c r="J238" s="223" t="s">
        <v>545</v>
      </c>
      <c r="K238" s="224"/>
      <c r="L238" s="241" t="s">
        <v>548</v>
      </c>
      <c r="M238" s="224"/>
      <c r="N238" s="65" t="e">
        <f>P238</f>
        <v>#REF!</v>
      </c>
      <c r="O238" s="59" t="s">
        <v>514</v>
      </c>
      <c r="P238" s="60" t="e">
        <f>P232*68+P233*73+P234*24+P235*60+P236*112+P237*45</f>
        <v>#REF!</v>
      </c>
      <c r="Q238" s="61" t="s">
        <v>232</v>
      </c>
      <c r="R238" s="62"/>
      <c r="S238" s="62"/>
      <c r="T238" s="62"/>
      <c r="U238" s="63"/>
      <c r="W238" s="65">
        <f>Y238</f>
        <v>882.90540304523063</v>
      </c>
      <c r="X238" s="59" t="s">
        <v>514</v>
      </c>
      <c r="Y238" s="60">
        <f>Y232*68+Y233*73+Y234*24+Y235*60+Y236*112+Y237*45</f>
        <v>882.90540304523063</v>
      </c>
      <c r="Z238" s="61" t="s">
        <v>232</v>
      </c>
      <c r="AA238" s="62"/>
      <c r="AB238" s="62"/>
      <c r="AC238" s="62"/>
      <c r="AD238" s="63"/>
    </row>
    <row r="239" spans="1:30">
      <c r="A239" s="229" t="s">
        <v>549</v>
      </c>
      <c r="B239" s="240"/>
      <c r="C239" s="240"/>
      <c r="D239" s="240"/>
      <c r="E239" s="240"/>
      <c r="F239" s="240"/>
      <c r="G239" s="240"/>
      <c r="H239" s="240"/>
      <c r="I239" s="240"/>
      <c r="J239" s="240"/>
      <c r="K239" s="240"/>
      <c r="L239" s="240"/>
      <c r="M239" s="240"/>
    </row>
    <row r="240" spans="1:30">
      <c r="A240" s="230" t="s">
        <v>550</v>
      </c>
      <c r="B240" s="230"/>
      <c r="C240" s="230"/>
      <c r="D240" s="230"/>
      <c r="E240" s="230"/>
      <c r="F240" s="230"/>
      <c r="G240" s="230"/>
      <c r="H240" s="230"/>
      <c r="I240" s="230"/>
      <c r="J240" s="230"/>
      <c r="K240" s="230"/>
      <c r="L240" s="230"/>
      <c r="M240" s="230"/>
      <c r="N240" s="230"/>
    </row>
    <row r="241" spans="1:30">
      <c r="A241" s="231" t="s">
        <v>364</v>
      </c>
      <c r="B241" s="231"/>
      <c r="C241" s="231"/>
      <c r="D241" s="231"/>
      <c r="E241" s="231"/>
      <c r="F241" s="231"/>
      <c r="G241" s="231"/>
      <c r="H241" s="231"/>
      <c r="I241" s="231"/>
      <c r="J241" s="231"/>
      <c r="K241" s="231"/>
      <c r="L241" s="231"/>
      <c r="M241" s="231"/>
      <c r="N241" s="231"/>
    </row>
    <row r="242" spans="1:30">
      <c r="A242" s="232" t="s">
        <v>365</v>
      </c>
      <c r="B242" s="232"/>
      <c r="C242" s="23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</row>
    <row r="243" spans="1:30">
      <c r="A243" s="233" t="s">
        <v>366</v>
      </c>
      <c r="B243" s="233"/>
      <c r="C243" s="233"/>
      <c r="D243" s="233"/>
      <c r="E243" s="233"/>
      <c r="F243" s="233"/>
      <c r="G243" s="233"/>
      <c r="H243" s="233"/>
      <c r="I243" s="233"/>
      <c r="J243" s="233"/>
      <c r="K243" s="233"/>
      <c r="L243" s="233"/>
      <c r="M243" s="233"/>
      <c r="N243" s="233"/>
    </row>
    <row r="244" spans="1:30" ht="22.75" thickBot="1">
      <c r="A244" s="211" t="s">
        <v>551</v>
      </c>
      <c r="B244" s="211"/>
      <c r="C244" s="211"/>
      <c r="D244" s="211"/>
      <c r="E244" s="211"/>
      <c r="F244" s="211"/>
      <c r="G244" s="211"/>
      <c r="H244" s="211"/>
      <c r="I244" s="211"/>
      <c r="J244" s="211"/>
      <c r="K244" s="211"/>
      <c r="L244" s="211"/>
      <c r="M244" s="211"/>
    </row>
    <row r="245" spans="1:30" ht="33.799999999999997" thickBot="1">
      <c r="A245" s="119" t="s">
        <v>367</v>
      </c>
      <c r="B245" s="5" t="s">
        <v>368</v>
      </c>
      <c r="C245" s="4" t="s">
        <v>369</v>
      </c>
      <c r="D245" s="5" t="s">
        <v>370</v>
      </c>
      <c r="E245" s="4" t="s">
        <v>369</v>
      </c>
      <c r="F245" s="5" t="s">
        <v>370</v>
      </c>
      <c r="G245" s="4" t="s">
        <v>369</v>
      </c>
      <c r="H245" s="5" t="s">
        <v>370</v>
      </c>
      <c r="I245" s="4" t="s">
        <v>369</v>
      </c>
      <c r="J245" s="5" t="s">
        <v>372</v>
      </c>
      <c r="K245" s="4" t="s">
        <v>369</v>
      </c>
      <c r="L245" s="5" t="s">
        <v>373</v>
      </c>
      <c r="M245" s="4" t="s">
        <v>369</v>
      </c>
      <c r="N245" s="4" t="s">
        <v>374</v>
      </c>
      <c r="O245" s="212" t="s">
        <v>375</v>
      </c>
      <c r="P245" s="213"/>
      <c r="Q245" s="213"/>
      <c r="R245" s="213"/>
      <c r="S245" s="213"/>
      <c r="T245" s="213"/>
      <c r="U245" s="214"/>
      <c r="W245" s="4" t="s">
        <v>374</v>
      </c>
      <c r="X245" s="212" t="s">
        <v>375</v>
      </c>
      <c r="Y245" s="213"/>
      <c r="Z245" s="213"/>
      <c r="AA245" s="213"/>
      <c r="AB245" s="213"/>
      <c r="AC245" s="213"/>
      <c r="AD245" s="214"/>
    </row>
    <row r="246" spans="1:30" ht="16.649999999999999" thickBot="1">
      <c r="A246" s="215">
        <f>A223+3</f>
        <v>44102</v>
      </c>
      <c r="B246" s="219" t="s">
        <v>556</v>
      </c>
      <c r="C246" s="220"/>
      <c r="D246" s="250" t="s">
        <v>552</v>
      </c>
      <c r="E246" s="220"/>
      <c r="F246" s="219" t="s">
        <v>553</v>
      </c>
      <c r="G246" s="220"/>
      <c r="H246" s="217" t="s">
        <v>228</v>
      </c>
      <c r="I246" s="226"/>
      <c r="J246" s="217" t="s">
        <v>554</v>
      </c>
      <c r="K246" s="218"/>
      <c r="L246" s="221" t="s">
        <v>650</v>
      </c>
      <c r="M246" s="222"/>
      <c r="N246" s="6" t="s">
        <v>229</v>
      </c>
      <c r="O246" s="7" t="s">
        <v>0</v>
      </c>
      <c r="P246" s="8" t="e">
        <f>C247/65+G247/55+#REF!/90+K247/20+M247/20+M248/20</f>
        <v>#REF!</v>
      </c>
      <c r="Q246" s="9" t="s">
        <v>230</v>
      </c>
      <c r="R246" s="10" t="s">
        <v>231</v>
      </c>
      <c r="S246" s="11" t="e">
        <f>P252</f>
        <v>#REF!</v>
      </c>
      <c r="T246" s="9" t="s">
        <v>516</v>
      </c>
      <c r="U246" s="12" t="s">
        <v>555</v>
      </c>
      <c r="W246" s="6" t="s">
        <v>229</v>
      </c>
      <c r="X246" s="196" t="s">
        <v>522</v>
      </c>
      <c r="Y246" s="197"/>
      <c r="Z246" s="198"/>
      <c r="AA246" s="199" t="s">
        <v>523</v>
      </c>
      <c r="AB246" s="200"/>
      <c r="AC246" s="200"/>
      <c r="AD246" s="201"/>
    </row>
    <row r="247" spans="1:30">
      <c r="A247" s="227"/>
      <c r="B247" s="13" t="s">
        <v>559</v>
      </c>
      <c r="C247" s="35">
        <v>120</v>
      </c>
      <c r="D247" s="17" t="s">
        <v>557</v>
      </c>
      <c r="E247" s="14">
        <v>30</v>
      </c>
      <c r="F247" s="17" t="s">
        <v>283</v>
      </c>
      <c r="G247" s="18">
        <v>40</v>
      </c>
      <c r="H247" s="106" t="s">
        <v>284</v>
      </c>
      <c r="I247" s="20">
        <v>100</v>
      </c>
      <c r="J247" s="17" t="s">
        <v>558</v>
      </c>
      <c r="K247" s="18">
        <v>15</v>
      </c>
      <c r="L247" s="115" t="s">
        <v>4</v>
      </c>
      <c r="M247" s="18">
        <v>130</v>
      </c>
      <c r="N247" s="22" t="e">
        <f>S247</f>
        <v>#REF!</v>
      </c>
      <c r="O247" s="23" t="s">
        <v>5</v>
      </c>
      <c r="P247" s="24" t="e">
        <f>#REF!/55+E247/50+E248/35+K250/35</f>
        <v>#REF!</v>
      </c>
      <c r="Q247" s="25" t="s">
        <v>242</v>
      </c>
      <c r="R247" s="26" t="s">
        <v>243</v>
      </c>
      <c r="S247" s="27" t="e">
        <f>P246*15+P248*5+P249*15+P250*12</f>
        <v>#REF!</v>
      </c>
      <c r="T247" s="25" t="s">
        <v>244</v>
      </c>
      <c r="U247" s="28" t="e">
        <f>S247*4/S246</f>
        <v>#REF!</v>
      </c>
      <c r="W247" s="22">
        <f>AB248</f>
        <v>125.71372549019608</v>
      </c>
      <c r="X247" s="29" t="s">
        <v>0</v>
      </c>
      <c r="Y247" s="8">
        <f>M247/20+K247/85+K249/90+M248/20</f>
        <v>7.7875816993464051</v>
      </c>
      <c r="Z247" s="9" t="s">
        <v>242</v>
      </c>
      <c r="AA247" s="10" t="s">
        <v>287</v>
      </c>
      <c r="AB247" s="11">
        <f>Y253</f>
        <v>882.96906204906202</v>
      </c>
      <c r="AC247" s="9" t="s">
        <v>516</v>
      </c>
      <c r="AD247" s="12" t="s">
        <v>555</v>
      </c>
    </row>
    <row r="248" spans="1:30">
      <c r="A248" s="227"/>
      <c r="B248" s="81" t="s">
        <v>533</v>
      </c>
      <c r="C248" s="116">
        <v>0.4</v>
      </c>
      <c r="D248" s="13" t="s">
        <v>526</v>
      </c>
      <c r="E248" s="14">
        <v>10</v>
      </c>
      <c r="F248" s="13" t="s">
        <v>530</v>
      </c>
      <c r="G248" s="14">
        <v>8</v>
      </c>
      <c r="H248" s="13"/>
      <c r="I248" s="34"/>
      <c r="J248" s="33" t="s">
        <v>22</v>
      </c>
      <c r="K248" s="35">
        <v>10</v>
      </c>
      <c r="L248" s="21" t="s">
        <v>651</v>
      </c>
      <c r="M248" s="35">
        <v>20</v>
      </c>
      <c r="N248" s="36" t="s">
        <v>531</v>
      </c>
      <c r="O248" s="37" t="s">
        <v>536</v>
      </c>
      <c r="P248" s="24">
        <f>(C248+I247+K248+K249+K251)/100</f>
        <v>1.254</v>
      </c>
      <c r="Q248" s="25" t="s">
        <v>230</v>
      </c>
      <c r="R248" s="26" t="s">
        <v>537</v>
      </c>
      <c r="S248" s="27" t="e">
        <f>P247*5+P250*4+P251*5</f>
        <v>#REF!</v>
      </c>
      <c r="T248" s="25" t="s">
        <v>256</v>
      </c>
      <c r="U248" s="28" t="e">
        <f>S248*9/S246</f>
        <v>#REF!</v>
      </c>
      <c r="W248" s="36" t="s">
        <v>531</v>
      </c>
      <c r="X248" s="23" t="s">
        <v>5</v>
      </c>
      <c r="Y248" s="24">
        <f>C247*0.6/40+E247/50+K250/55+E248/35</f>
        <v>2.7766233766233763</v>
      </c>
      <c r="Z248" s="25" t="s">
        <v>230</v>
      </c>
      <c r="AA248" s="26" t="s">
        <v>532</v>
      </c>
      <c r="AB248" s="27">
        <f>Y247*15+Y249*5+Y250*15+Y251*12</f>
        <v>125.71372549019608</v>
      </c>
      <c r="AC248" s="25" t="s">
        <v>256</v>
      </c>
      <c r="AD248" s="28">
        <f>AB248*4/AB247</f>
        <v>0.56950455409370082</v>
      </c>
    </row>
    <row r="249" spans="1:30">
      <c r="A249" s="227"/>
      <c r="B249" s="33"/>
      <c r="C249" s="35"/>
      <c r="D249" s="156" t="s">
        <v>315</v>
      </c>
      <c r="E249" s="32">
        <v>2</v>
      </c>
      <c r="F249" s="13" t="s">
        <v>314</v>
      </c>
      <c r="G249" s="14">
        <v>3</v>
      </c>
      <c r="H249" s="39"/>
      <c r="I249" s="14"/>
      <c r="J249" s="21" t="s">
        <v>560</v>
      </c>
      <c r="K249" s="35">
        <v>10</v>
      </c>
      <c r="L249" s="13"/>
      <c r="M249" s="88"/>
      <c r="N249" s="22" t="e">
        <f>S248</f>
        <v>#REF!</v>
      </c>
      <c r="O249" s="41" t="s">
        <v>295</v>
      </c>
      <c r="P249" s="42">
        <v>0</v>
      </c>
      <c r="Q249" s="25" t="s">
        <v>242</v>
      </c>
      <c r="R249" s="26" t="s">
        <v>296</v>
      </c>
      <c r="S249" s="27" t="e">
        <f>P246*2+P247*7+P248*1+P250*8</f>
        <v>#REF!</v>
      </c>
      <c r="T249" s="25" t="s">
        <v>244</v>
      </c>
      <c r="U249" s="28" t="e">
        <f>S249*4/S246</f>
        <v>#REF!</v>
      </c>
      <c r="W249" s="22">
        <f>AB249</f>
        <v>25.883116883116884</v>
      </c>
      <c r="X249" s="37" t="s">
        <v>248</v>
      </c>
      <c r="Y249" s="24">
        <f>(E249+G247+G248+G249+G250+G251+I247+K248+K251)/100</f>
        <v>1.78</v>
      </c>
      <c r="Z249" s="25" t="s">
        <v>242</v>
      </c>
      <c r="AA249" s="26" t="s">
        <v>249</v>
      </c>
      <c r="AB249" s="27">
        <f>Y248*5+Y251*4+Y252*5</f>
        <v>25.883116883116884</v>
      </c>
      <c r="AC249" s="25" t="s">
        <v>244</v>
      </c>
      <c r="AD249" s="28">
        <f>AB249*9/AB247</f>
        <v>0.26382357203712337</v>
      </c>
    </row>
    <row r="250" spans="1:30">
      <c r="A250" s="227"/>
      <c r="B250" s="13"/>
      <c r="C250" s="14"/>
      <c r="D250" s="54" t="s">
        <v>293</v>
      </c>
      <c r="E250" s="32">
        <v>1</v>
      </c>
      <c r="F250" s="21" t="s">
        <v>561</v>
      </c>
      <c r="G250" s="96">
        <v>5</v>
      </c>
      <c r="H250" s="39"/>
      <c r="I250" s="14"/>
      <c r="J250" s="47" t="s">
        <v>392</v>
      </c>
      <c r="K250" s="48">
        <v>5</v>
      </c>
      <c r="L250" s="33"/>
      <c r="M250" s="64"/>
      <c r="N250" s="36" t="s">
        <v>259</v>
      </c>
      <c r="O250" s="49" t="s">
        <v>9</v>
      </c>
      <c r="P250" s="42">
        <v>0</v>
      </c>
      <c r="Q250" s="25" t="s">
        <v>242</v>
      </c>
      <c r="R250" s="50"/>
      <c r="S250" s="50"/>
      <c r="T250" s="50"/>
      <c r="U250" s="51" t="e">
        <f>SUM(U247:U249)</f>
        <v>#REF!</v>
      </c>
      <c r="W250" s="36" t="s">
        <v>259</v>
      </c>
      <c r="X250" s="49" t="s">
        <v>295</v>
      </c>
      <c r="Y250" s="42">
        <v>0</v>
      </c>
      <c r="Z250" s="25" t="s">
        <v>242</v>
      </c>
      <c r="AA250" s="26" t="s">
        <v>296</v>
      </c>
      <c r="AB250" s="27">
        <f>Y247*2+Y248*7+Y249*1+Y251*8</f>
        <v>36.791527035056447</v>
      </c>
      <c r="AC250" s="25" t="s">
        <v>244</v>
      </c>
      <c r="AD250" s="28">
        <f>AB250*4/AB247</f>
        <v>0.16667187386917587</v>
      </c>
    </row>
    <row r="251" spans="1:30">
      <c r="A251" s="227" t="s">
        <v>562</v>
      </c>
      <c r="B251" s="176"/>
      <c r="C251" s="96"/>
      <c r="D251" s="54"/>
      <c r="E251" s="34"/>
      <c r="F251" s="39" t="s">
        <v>563</v>
      </c>
      <c r="G251" s="96">
        <v>5</v>
      </c>
      <c r="H251" s="39"/>
      <c r="I251" s="14"/>
      <c r="J251" s="39" t="s">
        <v>288</v>
      </c>
      <c r="K251" s="35">
        <v>5</v>
      </c>
      <c r="L251" s="33"/>
      <c r="M251" s="64"/>
      <c r="N251" s="22" t="e">
        <f>S249</f>
        <v>#REF!</v>
      </c>
      <c r="O251" s="55" t="s">
        <v>509</v>
      </c>
      <c r="P251" s="42">
        <v>2.5</v>
      </c>
      <c r="Q251" s="25" t="s">
        <v>242</v>
      </c>
      <c r="R251" s="56"/>
      <c r="S251" s="56"/>
      <c r="T251" s="56"/>
      <c r="U251" s="57"/>
      <c r="W251" s="22">
        <f>AB250</f>
        <v>36.791527035056447</v>
      </c>
      <c r="X251" s="49" t="s">
        <v>9</v>
      </c>
      <c r="Y251" s="42">
        <v>0</v>
      </c>
      <c r="Z251" s="25" t="s">
        <v>242</v>
      </c>
      <c r="AA251" s="50"/>
      <c r="AB251" s="50"/>
      <c r="AC251" s="50"/>
      <c r="AD251" s="51">
        <f>SUM(AD248:AD250)</f>
        <v>1</v>
      </c>
    </row>
    <row r="252" spans="1:30" ht="16.649999999999999" thickBot="1">
      <c r="A252" s="227"/>
      <c r="B252" s="39"/>
      <c r="C252" s="14"/>
      <c r="D252" s="177"/>
      <c r="E252" s="136"/>
      <c r="F252" s="21"/>
      <c r="G252" s="35"/>
      <c r="H252" s="39"/>
      <c r="I252" s="14"/>
      <c r="J252" s="21"/>
      <c r="K252" s="35"/>
      <c r="L252" s="33"/>
      <c r="M252" s="64"/>
      <c r="N252" s="36" t="s">
        <v>508</v>
      </c>
      <c r="O252" s="59" t="s">
        <v>514</v>
      </c>
      <c r="P252" s="60" t="e">
        <f>P246*68+P247*73+P248*24+P249*60+P250*112+P251*45</f>
        <v>#REF!</v>
      </c>
      <c r="Q252" s="61" t="s">
        <v>232</v>
      </c>
      <c r="R252" s="62"/>
      <c r="S252" s="62"/>
      <c r="T252" s="62"/>
      <c r="U252" s="63"/>
      <c r="W252" s="36" t="s">
        <v>508</v>
      </c>
      <c r="X252" s="55" t="s">
        <v>509</v>
      </c>
      <c r="Y252" s="42">
        <v>2.4</v>
      </c>
      <c r="Z252" s="25" t="s">
        <v>242</v>
      </c>
      <c r="AA252" s="56"/>
      <c r="AB252" s="56"/>
      <c r="AC252" s="56"/>
      <c r="AD252" s="57"/>
    </row>
    <row r="253" spans="1:30" ht="16.649999999999999" thickBot="1">
      <c r="A253" s="228"/>
      <c r="B253" s="223" t="s">
        <v>199</v>
      </c>
      <c r="C253" s="224"/>
      <c r="D253" s="223" t="s">
        <v>510</v>
      </c>
      <c r="E253" s="224"/>
      <c r="F253" s="223" t="s">
        <v>511</v>
      </c>
      <c r="G253" s="224"/>
      <c r="H253" s="223" t="s">
        <v>513</v>
      </c>
      <c r="I253" s="224"/>
      <c r="J253" s="223" t="s">
        <v>510</v>
      </c>
      <c r="K253" s="224"/>
      <c r="L253" s="223" t="s">
        <v>198</v>
      </c>
      <c r="M253" s="224"/>
      <c r="N253" s="65" t="e">
        <f>P252</f>
        <v>#REF!</v>
      </c>
      <c r="O253" s="66"/>
      <c r="P253" s="67"/>
      <c r="Q253" s="67"/>
      <c r="R253" s="67"/>
      <c r="S253" s="67"/>
      <c r="T253" s="67"/>
      <c r="U253" s="68"/>
      <c r="W253" s="65">
        <f>Y253</f>
        <v>882.96906204906202</v>
      </c>
      <c r="X253" s="59" t="s">
        <v>273</v>
      </c>
      <c r="Y253" s="60">
        <f>Y247*68+Y248*73+Y249*24+Y250*60+Y251*112+Y252*45</f>
        <v>882.96906204906202</v>
      </c>
      <c r="Z253" s="61" t="s">
        <v>274</v>
      </c>
      <c r="AA253" s="62"/>
      <c r="AB253" s="62"/>
      <c r="AC253" s="62"/>
      <c r="AD253" s="63"/>
    </row>
    <row r="254" spans="1:30" ht="16.649999999999999" thickBot="1">
      <c r="A254" s="215">
        <f>A246+1</f>
        <v>44103</v>
      </c>
      <c r="B254" s="217" t="s">
        <v>564</v>
      </c>
      <c r="C254" s="218"/>
      <c r="D254" s="217" t="s">
        <v>565</v>
      </c>
      <c r="E254" s="218"/>
      <c r="F254" s="248" t="s">
        <v>620</v>
      </c>
      <c r="G254" s="249"/>
      <c r="H254" s="217" t="s">
        <v>185</v>
      </c>
      <c r="I254" s="226"/>
      <c r="J254" s="217" t="s">
        <v>566</v>
      </c>
      <c r="K254" s="218"/>
      <c r="L254" s="221" t="s">
        <v>453</v>
      </c>
      <c r="M254" s="222"/>
      <c r="N254" s="6" t="s">
        <v>301</v>
      </c>
      <c r="O254" s="205" t="s">
        <v>302</v>
      </c>
      <c r="P254" s="206"/>
      <c r="Q254" s="207"/>
      <c r="R254" s="208" t="s">
        <v>303</v>
      </c>
      <c r="S254" s="209"/>
      <c r="T254" s="209"/>
      <c r="U254" s="210"/>
      <c r="W254" s="6" t="s">
        <v>301</v>
      </c>
      <c r="X254" s="196" t="s">
        <v>302</v>
      </c>
      <c r="Y254" s="197"/>
      <c r="Z254" s="198"/>
      <c r="AA254" s="199" t="s">
        <v>303</v>
      </c>
      <c r="AB254" s="200"/>
      <c r="AC254" s="200"/>
      <c r="AD254" s="201"/>
    </row>
    <row r="255" spans="1:30">
      <c r="A255" s="227"/>
      <c r="B255" s="13" t="s">
        <v>433</v>
      </c>
      <c r="C255" s="35">
        <v>130</v>
      </c>
      <c r="D255" s="178" t="s">
        <v>330</v>
      </c>
      <c r="E255" s="179">
        <v>40</v>
      </c>
      <c r="F255" s="178" t="s">
        <v>489</v>
      </c>
      <c r="G255" s="179">
        <v>15</v>
      </c>
      <c r="H255" s="130" t="s">
        <v>443</v>
      </c>
      <c r="I255" s="20">
        <v>100</v>
      </c>
      <c r="J255" s="17" t="s">
        <v>343</v>
      </c>
      <c r="K255" s="18">
        <v>8</v>
      </c>
      <c r="L255" s="21" t="s">
        <v>333</v>
      </c>
      <c r="M255" s="18">
        <v>110</v>
      </c>
      <c r="N255" s="22" t="e">
        <f>S256</f>
        <v>#REF!</v>
      </c>
      <c r="O255" s="7" t="s">
        <v>0</v>
      </c>
      <c r="P255" s="42">
        <f>G255/20+M255/20+M256/55</f>
        <v>6.9772727272727275</v>
      </c>
      <c r="Q255" s="9" t="s">
        <v>262</v>
      </c>
      <c r="R255" s="74" t="s">
        <v>306</v>
      </c>
      <c r="S255" s="75" t="e">
        <f>P261</f>
        <v>#REF!</v>
      </c>
      <c r="T255" s="76" t="s">
        <v>274</v>
      </c>
      <c r="U255" s="77" t="s">
        <v>334</v>
      </c>
      <c r="W255" s="22">
        <f>AB256</f>
        <v>124.14642857142857</v>
      </c>
      <c r="X255" s="7" t="s">
        <v>0</v>
      </c>
      <c r="Y255" s="8">
        <f>M255/20+M256/20+G258/70</f>
        <v>7.5714285714285712</v>
      </c>
      <c r="Z255" s="9" t="s">
        <v>262</v>
      </c>
      <c r="AA255" s="74" t="s">
        <v>306</v>
      </c>
      <c r="AB255" s="75">
        <f>Y261</f>
        <v>871.33337662337658</v>
      </c>
      <c r="AC255" s="76" t="s">
        <v>274</v>
      </c>
      <c r="AD255" s="77" t="s">
        <v>334</v>
      </c>
    </row>
    <row r="256" spans="1:30">
      <c r="A256" s="227"/>
      <c r="B256" s="118" t="s">
        <v>308</v>
      </c>
      <c r="C256" s="136">
        <v>0.4</v>
      </c>
      <c r="D256" s="180" t="s">
        <v>423</v>
      </c>
      <c r="E256" s="181">
        <v>5</v>
      </c>
      <c r="F256" s="180" t="s">
        <v>270</v>
      </c>
      <c r="G256" s="181">
        <v>8</v>
      </c>
      <c r="H256" s="13"/>
      <c r="I256" s="34"/>
      <c r="J256" s="13" t="s">
        <v>344</v>
      </c>
      <c r="K256" s="14">
        <v>5</v>
      </c>
      <c r="L256" s="21" t="s">
        <v>398</v>
      </c>
      <c r="M256" s="35">
        <v>40</v>
      </c>
      <c r="N256" s="36" t="s">
        <v>338</v>
      </c>
      <c r="O256" s="23" t="s">
        <v>5</v>
      </c>
      <c r="P256" s="24" t="e">
        <f>C255/35+G258/35+E258/55+#REF!*0.65/35</f>
        <v>#REF!</v>
      </c>
      <c r="Q256" s="25" t="s">
        <v>262</v>
      </c>
      <c r="R256" s="26" t="s">
        <v>339</v>
      </c>
      <c r="S256" s="27" t="e">
        <f>P255*15+P257*5+P258*15+P259*12</f>
        <v>#REF!</v>
      </c>
      <c r="T256" s="25" t="s">
        <v>264</v>
      </c>
      <c r="U256" s="28" t="e">
        <f>S256*4/S255</f>
        <v>#REF!</v>
      </c>
      <c r="W256" s="36" t="s">
        <v>338</v>
      </c>
      <c r="X256" s="23" t="s">
        <v>5</v>
      </c>
      <c r="Y256" s="24">
        <f>C255*0.6/40+E257/50+G259/35+K257/55</f>
        <v>2.7084415584415584</v>
      </c>
      <c r="Z256" s="25" t="s">
        <v>262</v>
      </c>
      <c r="AA256" s="26" t="s">
        <v>339</v>
      </c>
      <c r="AB256" s="27">
        <f>Y255*15+Y257*5+Y258*15+Y259*12</f>
        <v>124.14642857142857</v>
      </c>
      <c r="AC256" s="25" t="s">
        <v>264</v>
      </c>
      <c r="AD256" s="28">
        <f>AB256*4/AB255</f>
        <v>0.56991471646604619</v>
      </c>
    </row>
    <row r="257" spans="1:30">
      <c r="A257" s="227"/>
      <c r="B257" s="33" t="s">
        <v>418</v>
      </c>
      <c r="C257" s="38">
        <v>10</v>
      </c>
      <c r="D257" s="180" t="s">
        <v>456</v>
      </c>
      <c r="E257" s="181">
        <v>10</v>
      </c>
      <c r="F257" s="180" t="s">
        <v>340</v>
      </c>
      <c r="G257" s="181">
        <v>8</v>
      </c>
      <c r="H257" s="39"/>
      <c r="I257" s="14"/>
      <c r="J257" s="89" t="s">
        <v>347</v>
      </c>
      <c r="K257" s="32">
        <v>15</v>
      </c>
      <c r="L257" s="84"/>
      <c r="M257" s="85"/>
      <c r="N257" s="22" t="e">
        <f>S257</f>
        <v>#REF!</v>
      </c>
      <c r="O257" s="37" t="s">
        <v>318</v>
      </c>
      <c r="P257" s="24" t="e">
        <f>(C256+G256+G257+E255+E256+E257+#REF!+I255+#REF!)/100</f>
        <v>#REF!</v>
      </c>
      <c r="Q257" s="25" t="s">
        <v>262</v>
      </c>
      <c r="R257" s="26" t="s">
        <v>319</v>
      </c>
      <c r="S257" s="27" t="e">
        <f>P256*5+P259*4+P260*5</f>
        <v>#REF!</v>
      </c>
      <c r="T257" s="25" t="s">
        <v>264</v>
      </c>
      <c r="U257" s="28" t="e">
        <f>S257*9/S255</f>
        <v>#REF!</v>
      </c>
      <c r="W257" s="22">
        <f>AB257</f>
        <v>25.54220779220779</v>
      </c>
      <c r="X257" s="37" t="s">
        <v>318</v>
      </c>
      <c r="Y257" s="24">
        <f>(C257+C259+E255+E256+E258+G255+G256+G257+I255+K255+K256+K258+K259)/100</f>
        <v>2.1150000000000002</v>
      </c>
      <c r="Z257" s="25" t="s">
        <v>262</v>
      </c>
      <c r="AA257" s="26" t="s">
        <v>319</v>
      </c>
      <c r="AB257" s="27">
        <f>Y256*5+Y259*4+Y260*5</f>
        <v>25.54220779220779</v>
      </c>
      <c r="AC257" s="25" t="s">
        <v>264</v>
      </c>
      <c r="AD257" s="28">
        <f>AB257*9/AB255</f>
        <v>0.26382539255033371</v>
      </c>
    </row>
    <row r="258" spans="1:30">
      <c r="A258" s="227"/>
      <c r="B258" s="33" t="s">
        <v>356</v>
      </c>
      <c r="C258" s="38">
        <v>5</v>
      </c>
      <c r="D258" s="180" t="s">
        <v>265</v>
      </c>
      <c r="E258" s="181">
        <v>5</v>
      </c>
      <c r="F258" s="180" t="s">
        <v>567</v>
      </c>
      <c r="G258" s="181">
        <v>5</v>
      </c>
      <c r="H258" s="39"/>
      <c r="I258" s="14"/>
      <c r="J258" s="13" t="s">
        <v>265</v>
      </c>
      <c r="K258" s="48">
        <v>2</v>
      </c>
      <c r="L258" s="84"/>
      <c r="M258" s="85"/>
      <c r="N258" s="36" t="s">
        <v>260</v>
      </c>
      <c r="O258" s="41" t="s">
        <v>261</v>
      </c>
      <c r="P258" s="42">
        <v>0</v>
      </c>
      <c r="Q258" s="25" t="s">
        <v>262</v>
      </c>
      <c r="R258" s="26" t="s">
        <v>263</v>
      </c>
      <c r="S258" s="27" t="e">
        <f>P255*2+P256*7+P257*1+P259*8</f>
        <v>#REF!</v>
      </c>
      <c r="T258" s="25" t="s">
        <v>264</v>
      </c>
      <c r="U258" s="28" t="e">
        <f>S258*4/S255</f>
        <v>#REF!</v>
      </c>
      <c r="W258" s="36" t="s">
        <v>260</v>
      </c>
      <c r="X258" s="49" t="s">
        <v>261</v>
      </c>
      <c r="Y258" s="42">
        <v>0</v>
      </c>
      <c r="Z258" s="25" t="s">
        <v>262</v>
      </c>
      <c r="AA258" s="26" t="s">
        <v>263</v>
      </c>
      <c r="AB258" s="27">
        <f>Y255*2+Y256*7+Y257*1+Y259*8</f>
        <v>36.216948051948059</v>
      </c>
      <c r="AC258" s="25" t="s">
        <v>264</v>
      </c>
      <c r="AD258" s="28">
        <f>AB258*4/AB255</f>
        <v>0.16625989098362015</v>
      </c>
    </row>
    <row r="259" spans="1:30">
      <c r="A259" s="227" t="s">
        <v>401</v>
      </c>
      <c r="B259" s="31" t="s">
        <v>265</v>
      </c>
      <c r="C259" s="32">
        <v>5</v>
      </c>
      <c r="D259" s="54"/>
      <c r="E259" s="35"/>
      <c r="F259" s="54" t="s">
        <v>298</v>
      </c>
      <c r="G259" s="35">
        <v>10</v>
      </c>
      <c r="H259" s="39"/>
      <c r="I259" s="14"/>
      <c r="J259" s="39" t="s">
        <v>359</v>
      </c>
      <c r="K259" s="35">
        <v>0.5</v>
      </c>
      <c r="L259" s="84"/>
      <c r="M259" s="85"/>
      <c r="N259" s="22" t="e">
        <f>S258</f>
        <v>#REF!</v>
      </c>
      <c r="O259" s="49" t="s">
        <v>9</v>
      </c>
      <c r="P259" s="42">
        <v>0</v>
      </c>
      <c r="Q259" s="25" t="s">
        <v>262</v>
      </c>
      <c r="R259" s="50"/>
      <c r="S259" s="50"/>
      <c r="T259" s="50"/>
      <c r="U259" s="51" t="e">
        <f>SUM(U256:U258)</f>
        <v>#REF!</v>
      </c>
      <c r="W259" s="22">
        <f>AB258</f>
        <v>36.216948051948059</v>
      </c>
      <c r="X259" s="49" t="s">
        <v>9</v>
      </c>
      <c r="Y259" s="42">
        <v>0</v>
      </c>
      <c r="Z259" s="25" t="s">
        <v>262</v>
      </c>
      <c r="AA259" s="50"/>
      <c r="AB259" s="50"/>
      <c r="AC259" s="50"/>
      <c r="AD259" s="51">
        <f>SUM(AD256:AD258)</f>
        <v>1</v>
      </c>
    </row>
    <row r="260" spans="1:30">
      <c r="A260" s="227"/>
      <c r="B260" s="31"/>
      <c r="C260" s="32"/>
      <c r="D260" s="182"/>
      <c r="E260" s="14"/>
      <c r="F260" s="182"/>
      <c r="G260" s="14"/>
      <c r="H260" s="39"/>
      <c r="I260" s="14"/>
      <c r="J260" s="118"/>
      <c r="K260" s="117"/>
      <c r="L260" s="84"/>
      <c r="M260" s="85"/>
      <c r="N260" s="36" t="s">
        <v>272</v>
      </c>
      <c r="O260" s="55" t="s">
        <v>269</v>
      </c>
      <c r="P260" s="42">
        <v>2.5</v>
      </c>
      <c r="Q260" s="25" t="s">
        <v>262</v>
      </c>
      <c r="R260" s="56"/>
      <c r="S260" s="56"/>
      <c r="T260" s="56"/>
      <c r="U260" s="57"/>
      <c r="W260" s="36" t="s">
        <v>272</v>
      </c>
      <c r="X260" s="55" t="s">
        <v>269</v>
      </c>
      <c r="Y260" s="42">
        <v>2.4</v>
      </c>
      <c r="Z260" s="25" t="s">
        <v>262</v>
      </c>
      <c r="AA260" s="56"/>
      <c r="AB260" s="56"/>
      <c r="AC260" s="56"/>
      <c r="AD260" s="57"/>
    </row>
    <row r="261" spans="1:30" ht="16.649999999999999" thickBot="1">
      <c r="A261" s="228"/>
      <c r="B261" s="223" t="s">
        <v>568</v>
      </c>
      <c r="C261" s="224"/>
      <c r="D261" s="223" t="s">
        <v>196</v>
      </c>
      <c r="E261" s="224"/>
      <c r="F261" s="223" t="s">
        <v>195</v>
      </c>
      <c r="G261" s="224"/>
      <c r="H261" s="223" t="s">
        <v>197</v>
      </c>
      <c r="I261" s="224"/>
      <c r="J261" s="223" t="s">
        <v>196</v>
      </c>
      <c r="K261" s="224"/>
      <c r="L261" s="223" t="s">
        <v>198</v>
      </c>
      <c r="M261" s="224"/>
      <c r="N261" s="65" t="e">
        <f>P261</f>
        <v>#REF!</v>
      </c>
      <c r="O261" s="59" t="s">
        <v>273</v>
      </c>
      <c r="P261" s="60" t="e">
        <f>P255*68+P256*73+P257*24+P258*60+P259*112+P260*45</f>
        <v>#REF!</v>
      </c>
      <c r="Q261" s="61" t="s">
        <v>274</v>
      </c>
      <c r="R261" s="62"/>
      <c r="S261" s="62"/>
      <c r="T261" s="62"/>
      <c r="U261" s="63"/>
      <c r="W261" s="65">
        <f>Y261</f>
        <v>871.33337662337658</v>
      </c>
      <c r="X261" s="59" t="s">
        <v>273</v>
      </c>
      <c r="Y261" s="60">
        <f>Y255*68+Y256*73+Y257*24+Y258*60+Y259*112+Y260*45</f>
        <v>871.33337662337658</v>
      </c>
      <c r="Z261" s="61" t="s">
        <v>274</v>
      </c>
      <c r="AA261" s="62"/>
      <c r="AB261" s="62"/>
      <c r="AC261" s="62"/>
      <c r="AD261" s="63"/>
    </row>
    <row r="262" spans="1:30" ht="16.649999999999999" thickBot="1">
      <c r="A262" s="215">
        <f>A254+1</f>
        <v>44104</v>
      </c>
      <c r="B262" s="217" t="s">
        <v>622</v>
      </c>
      <c r="C262" s="218"/>
      <c r="D262" s="219" t="s">
        <v>623</v>
      </c>
      <c r="E262" s="220"/>
      <c r="F262" s="219" t="s">
        <v>638</v>
      </c>
      <c r="G262" s="220"/>
      <c r="H262" s="217" t="s">
        <v>185</v>
      </c>
      <c r="I262" s="226"/>
      <c r="J262" s="219" t="s">
        <v>625</v>
      </c>
      <c r="K262" s="220"/>
      <c r="L262" s="253" t="s">
        <v>621</v>
      </c>
      <c r="M262" s="239"/>
      <c r="N262" s="6" t="s">
        <v>301</v>
      </c>
      <c r="O262" s="205" t="s">
        <v>302</v>
      </c>
      <c r="P262" s="206"/>
      <c r="Q262" s="207"/>
      <c r="R262" s="208" t="s">
        <v>303</v>
      </c>
      <c r="S262" s="209"/>
      <c r="T262" s="209"/>
      <c r="U262" s="210"/>
      <c r="W262" s="6" t="s">
        <v>301</v>
      </c>
      <c r="X262" s="196" t="s">
        <v>302</v>
      </c>
      <c r="Y262" s="197"/>
      <c r="Z262" s="198"/>
      <c r="AA262" s="199" t="s">
        <v>303</v>
      </c>
      <c r="AB262" s="200"/>
      <c r="AC262" s="200"/>
      <c r="AD262" s="201"/>
    </row>
    <row r="263" spans="1:30">
      <c r="A263" s="227"/>
      <c r="B263" s="47" t="s">
        <v>642</v>
      </c>
      <c r="C263" s="48">
        <v>100</v>
      </c>
      <c r="D263" s="13" t="s">
        <v>455</v>
      </c>
      <c r="E263" s="20">
        <v>30</v>
      </c>
      <c r="F263" s="13" t="s">
        <v>638</v>
      </c>
      <c r="G263" s="35">
        <v>30</v>
      </c>
      <c r="H263" s="130" t="s">
        <v>331</v>
      </c>
      <c r="I263" s="20">
        <v>100</v>
      </c>
      <c r="J263" s="17" t="s">
        <v>626</v>
      </c>
      <c r="K263" s="18">
        <v>15</v>
      </c>
      <c r="L263" s="113" t="s">
        <v>627</v>
      </c>
      <c r="M263" s="92">
        <v>120</v>
      </c>
      <c r="N263" s="22" t="e">
        <f>S264</f>
        <v>#REF!</v>
      </c>
      <c r="O263" s="7" t="s">
        <v>0</v>
      </c>
      <c r="P263" s="42">
        <f>K265/35+M263/20</f>
        <v>6</v>
      </c>
      <c r="Q263" s="9" t="s">
        <v>262</v>
      </c>
      <c r="R263" s="74" t="s">
        <v>306</v>
      </c>
      <c r="S263" s="75" t="e">
        <f>P269</f>
        <v>#REF!</v>
      </c>
      <c r="T263" s="76" t="s">
        <v>274</v>
      </c>
      <c r="U263" s="93"/>
      <c r="W263" s="22">
        <f>AB264</f>
        <v>122.56470588235292</v>
      </c>
      <c r="X263" s="7" t="s">
        <v>0</v>
      </c>
      <c r="Y263" s="8">
        <f>M263/20+M264/85+G263/30+K263/30</f>
        <v>7.617647058823529</v>
      </c>
      <c r="Z263" s="9" t="s">
        <v>262</v>
      </c>
      <c r="AA263" s="74" t="s">
        <v>306</v>
      </c>
      <c r="AB263" s="75">
        <f>Y269</f>
        <v>869.19714285714292</v>
      </c>
      <c r="AC263" s="76" t="s">
        <v>274</v>
      </c>
      <c r="AD263" s="93"/>
    </row>
    <row r="264" spans="1:30">
      <c r="A264" s="227"/>
      <c r="B264" s="47"/>
      <c r="C264" s="48"/>
      <c r="D264" s="13" t="s">
        <v>420</v>
      </c>
      <c r="E264" s="14">
        <v>15</v>
      </c>
      <c r="F264" s="79"/>
      <c r="G264" s="111"/>
      <c r="H264" s="13"/>
      <c r="I264" s="14"/>
      <c r="J264" s="13" t="s">
        <v>639</v>
      </c>
      <c r="K264" s="14" t="s">
        <v>640</v>
      </c>
      <c r="L264" s="39" t="s">
        <v>628</v>
      </c>
      <c r="M264" s="85">
        <v>10</v>
      </c>
      <c r="N264" s="36" t="s">
        <v>338</v>
      </c>
      <c r="O264" s="23" t="s">
        <v>5</v>
      </c>
      <c r="P264" s="24">
        <f>C263*0.68/40+G280/35+G281/35+E272/15+K266/60</f>
        <v>1.7</v>
      </c>
      <c r="Q264" s="25" t="s">
        <v>262</v>
      </c>
      <c r="R264" s="26" t="s">
        <v>339</v>
      </c>
      <c r="S264" s="27" t="e">
        <f>P263*15+P265*5+P266*15+P267*12</f>
        <v>#REF!</v>
      </c>
      <c r="T264" s="25" t="s">
        <v>264</v>
      </c>
      <c r="U264" s="28" t="e">
        <f>S264*4/S263</f>
        <v>#REF!</v>
      </c>
      <c r="W264" s="36" t="s">
        <v>643</v>
      </c>
      <c r="X264" s="23" t="s">
        <v>5</v>
      </c>
      <c r="Y264" s="24">
        <f>C263/40+M266/35</f>
        <v>2.7857142857142856</v>
      </c>
      <c r="Z264" s="25" t="s">
        <v>262</v>
      </c>
      <c r="AA264" s="26" t="s">
        <v>339</v>
      </c>
      <c r="AB264" s="27">
        <f>Y263*15+Y265*5+Y266*15+Y267*12</f>
        <v>122.56470588235292</v>
      </c>
      <c r="AC264" s="25" t="s">
        <v>264</v>
      </c>
      <c r="AD264" s="28">
        <f>AB264*4/AB263</f>
        <v>0.56403639560742125</v>
      </c>
    </row>
    <row r="265" spans="1:30">
      <c r="A265" s="227"/>
      <c r="B265" s="31"/>
      <c r="C265" s="38"/>
      <c r="D265" s="13" t="s">
        <v>624</v>
      </c>
      <c r="E265" s="14">
        <v>5</v>
      </c>
      <c r="F265" s="79"/>
      <c r="G265" s="111"/>
      <c r="H265" s="154"/>
      <c r="I265" s="116"/>
      <c r="J265" s="13"/>
      <c r="K265" s="14"/>
      <c r="L265" s="39" t="s">
        <v>629</v>
      </c>
      <c r="M265" s="85">
        <v>5</v>
      </c>
      <c r="N265" s="22">
        <f>S265</f>
        <v>21</v>
      </c>
      <c r="O265" s="37" t="s">
        <v>318</v>
      </c>
      <c r="P265" s="24" t="e">
        <f>(G279+E271+#REF!+I263+K263+K264)/100</f>
        <v>#REF!</v>
      </c>
      <c r="Q265" s="25" t="s">
        <v>262</v>
      </c>
      <c r="R265" s="26" t="s">
        <v>319</v>
      </c>
      <c r="S265" s="27">
        <f>P264*5+P267*4+P268*5</f>
        <v>21</v>
      </c>
      <c r="T265" s="25" t="s">
        <v>264</v>
      </c>
      <c r="U265" s="28" t="e">
        <f>S265*9/S263</f>
        <v>#REF!</v>
      </c>
      <c r="W265" s="22">
        <f>AB265</f>
        <v>25.928571428571427</v>
      </c>
      <c r="X265" s="37" t="s">
        <v>318</v>
      </c>
      <c r="Y265" s="24">
        <f>(E263+E264+E265+E266+E267+I263+M265+M267)/100</f>
        <v>1.66</v>
      </c>
      <c r="Z265" s="25" t="s">
        <v>262</v>
      </c>
      <c r="AA265" s="26" t="s">
        <v>319</v>
      </c>
      <c r="AB265" s="27">
        <f>Y264*5+Y267*4+Y268*5</f>
        <v>25.928571428571427</v>
      </c>
      <c r="AC265" s="25" t="s">
        <v>264</v>
      </c>
      <c r="AD265" s="28">
        <f>AB265*9/AB263</f>
        <v>0.26847435564511085</v>
      </c>
    </row>
    <row r="266" spans="1:30">
      <c r="A266" s="227"/>
      <c r="B266" s="13"/>
      <c r="C266" s="14"/>
      <c r="D266" s="33" t="s">
        <v>265</v>
      </c>
      <c r="E266" s="35">
        <v>5</v>
      </c>
      <c r="F266" s="13"/>
      <c r="G266" s="14"/>
      <c r="H266" s="87"/>
      <c r="I266" s="14"/>
      <c r="J266" s="118"/>
      <c r="K266" s="136"/>
      <c r="L266" s="89" t="s">
        <v>630</v>
      </c>
      <c r="M266" s="32">
        <v>10</v>
      </c>
      <c r="N266" s="36" t="s">
        <v>260</v>
      </c>
      <c r="O266" s="41" t="s">
        <v>261</v>
      </c>
      <c r="P266" s="42">
        <v>0</v>
      </c>
      <c r="Q266" s="25" t="s">
        <v>262</v>
      </c>
      <c r="R266" s="26" t="s">
        <v>263</v>
      </c>
      <c r="S266" s="27" t="e">
        <f>P263*2+P264*7+P265*1+P267*8</f>
        <v>#REF!</v>
      </c>
      <c r="T266" s="25" t="s">
        <v>264</v>
      </c>
      <c r="U266" s="28" t="e">
        <f>S266*4/S263</f>
        <v>#REF!</v>
      </c>
      <c r="W266" s="36" t="s">
        <v>260</v>
      </c>
      <c r="X266" s="49" t="s">
        <v>261</v>
      </c>
      <c r="Y266" s="42">
        <v>0</v>
      </c>
      <c r="Z266" s="25" t="s">
        <v>262</v>
      </c>
      <c r="AA266" s="26" t="s">
        <v>263</v>
      </c>
      <c r="AB266" s="27">
        <f>Y263*2+Y264*7+Y265*1+Y267*8</f>
        <v>36.395294117647055</v>
      </c>
      <c r="AC266" s="25" t="s">
        <v>264</v>
      </c>
      <c r="AD266" s="28">
        <f>AB266*4/AB263</f>
        <v>0.16748924874746768</v>
      </c>
    </row>
    <row r="267" spans="1:30">
      <c r="A267" s="227" t="s">
        <v>410</v>
      </c>
      <c r="B267" s="94"/>
      <c r="C267" s="52"/>
      <c r="D267" s="13" t="s">
        <v>423</v>
      </c>
      <c r="E267" s="100">
        <v>1</v>
      </c>
      <c r="F267" s="176"/>
      <c r="G267" s="96"/>
      <c r="H267" s="87"/>
      <c r="I267" s="14"/>
      <c r="J267" s="143"/>
      <c r="K267" s="85"/>
      <c r="L267" s="39" t="s">
        <v>635</v>
      </c>
      <c r="M267" s="85">
        <v>5</v>
      </c>
      <c r="N267" s="22" t="e">
        <f>S266</f>
        <v>#REF!</v>
      </c>
      <c r="O267" s="49" t="s">
        <v>9</v>
      </c>
      <c r="P267" s="42">
        <v>0</v>
      </c>
      <c r="Q267" s="25" t="s">
        <v>262</v>
      </c>
      <c r="R267" s="50"/>
      <c r="S267" s="50"/>
      <c r="T267" s="50"/>
      <c r="U267" s="51" t="e">
        <f>SUM(U264:U266)</f>
        <v>#REF!</v>
      </c>
      <c r="W267" s="22">
        <f>AB266</f>
        <v>36.395294117647055</v>
      </c>
      <c r="X267" s="49" t="s">
        <v>9</v>
      </c>
      <c r="Y267" s="42">
        <v>0</v>
      </c>
      <c r="Z267" s="25" t="s">
        <v>262</v>
      </c>
      <c r="AA267" s="50"/>
      <c r="AB267" s="50"/>
      <c r="AC267" s="50"/>
      <c r="AD267" s="51">
        <f>SUM(AD264:AD266)</f>
        <v>0.99999999999999978</v>
      </c>
    </row>
    <row r="268" spans="1:30">
      <c r="A268" s="227"/>
      <c r="B268" s="47"/>
      <c r="C268" s="48"/>
      <c r="D268" s="33"/>
      <c r="F268" s="39"/>
      <c r="G268" s="14"/>
      <c r="H268" s="58"/>
      <c r="I268" s="64"/>
      <c r="J268" s="21"/>
      <c r="K268" s="35"/>
      <c r="L268" s="21" t="s">
        <v>641</v>
      </c>
      <c r="M268" s="35" t="s">
        <v>640</v>
      </c>
      <c r="N268" s="36" t="s">
        <v>272</v>
      </c>
      <c r="O268" s="55" t="s">
        <v>269</v>
      </c>
      <c r="P268" s="42">
        <v>2.5</v>
      </c>
      <c r="Q268" s="25" t="s">
        <v>262</v>
      </c>
      <c r="R268" s="56"/>
      <c r="S268" s="56"/>
      <c r="T268" s="56"/>
      <c r="U268" s="57"/>
      <c r="W268" s="36" t="s">
        <v>272</v>
      </c>
      <c r="X268" s="55" t="s">
        <v>269</v>
      </c>
      <c r="Y268" s="42">
        <v>2.4</v>
      </c>
      <c r="Z268" s="25" t="s">
        <v>262</v>
      </c>
      <c r="AA268" s="56"/>
      <c r="AB268" s="56"/>
      <c r="AC268" s="56"/>
      <c r="AD268" s="57"/>
    </row>
    <row r="269" spans="1:30" ht="16.649999999999999" thickBot="1">
      <c r="A269" s="228"/>
      <c r="B269" s="223" t="s">
        <v>597</v>
      </c>
      <c r="C269" s="224"/>
      <c r="D269" s="223" t="s">
        <v>195</v>
      </c>
      <c r="E269" s="224"/>
      <c r="F269" s="241" t="s">
        <v>599</v>
      </c>
      <c r="G269" s="224"/>
      <c r="H269" s="223" t="s">
        <v>197</v>
      </c>
      <c r="I269" s="224"/>
      <c r="J269" s="223" t="s">
        <v>196</v>
      </c>
      <c r="K269" s="224"/>
      <c r="L269" s="223" t="s">
        <v>202</v>
      </c>
      <c r="M269" s="224"/>
      <c r="N269" s="65" t="e">
        <f>P269</f>
        <v>#REF!</v>
      </c>
      <c r="O269" s="59" t="s">
        <v>273</v>
      </c>
      <c r="P269" s="60" t="e">
        <f>P263*68+P264*73+P265*24+P266*60+P267*112+P268*45</f>
        <v>#REF!</v>
      </c>
      <c r="Q269" s="61" t="s">
        <v>274</v>
      </c>
      <c r="R269" s="62"/>
      <c r="S269" s="62"/>
      <c r="T269" s="62"/>
      <c r="U269" s="63"/>
      <c r="W269" s="65">
        <f>Y269</f>
        <v>869.19714285714292</v>
      </c>
      <c r="X269" s="59" t="s">
        <v>273</v>
      </c>
      <c r="Y269" s="60">
        <f>Y263*68+Y264*73+Y265*24+Y266*60+Y267*112+Y268*45</f>
        <v>869.19714285714292</v>
      </c>
      <c r="Z269" s="61" t="s">
        <v>274</v>
      </c>
      <c r="AA269" s="62"/>
      <c r="AB269" s="62"/>
      <c r="AC269" s="62"/>
      <c r="AD269" s="63"/>
    </row>
    <row r="270" spans="1:30" ht="16.649999999999999" thickBot="1">
      <c r="A270" s="215">
        <f>A262+1</f>
        <v>44105</v>
      </c>
      <c r="B270" s="219"/>
      <c r="C270" s="220"/>
      <c r="D270" s="221"/>
      <c r="E270" s="222"/>
      <c r="F270" s="217"/>
      <c r="G270" s="222"/>
      <c r="H270" s="217"/>
      <c r="I270" s="226"/>
      <c r="J270" s="219"/>
      <c r="K270" s="220"/>
      <c r="L270" s="221"/>
      <c r="M270" s="222"/>
      <c r="N270" s="6" t="s">
        <v>301</v>
      </c>
      <c r="O270" s="205" t="s">
        <v>302</v>
      </c>
      <c r="P270" s="206"/>
      <c r="Q270" s="207"/>
      <c r="R270" s="208" t="s">
        <v>303</v>
      </c>
      <c r="S270" s="209"/>
      <c r="T270" s="209"/>
      <c r="U270" s="210"/>
      <c r="W270" s="6" t="s">
        <v>301</v>
      </c>
      <c r="X270" s="196" t="s">
        <v>302</v>
      </c>
      <c r="Y270" s="197"/>
      <c r="Z270" s="198"/>
      <c r="AA270" s="199" t="s">
        <v>303</v>
      </c>
      <c r="AB270" s="200"/>
      <c r="AC270" s="200"/>
      <c r="AD270" s="201"/>
    </row>
    <row r="271" spans="1:30">
      <c r="A271" s="227"/>
      <c r="B271" s="13"/>
      <c r="C271" s="35"/>
      <c r="D271" s="113"/>
      <c r="E271" s="114"/>
      <c r="F271" s="152"/>
      <c r="G271" s="121"/>
      <c r="H271" s="19"/>
      <c r="I271" s="121"/>
      <c r="J271" s="174"/>
      <c r="K271" s="18"/>
      <c r="L271" s="21"/>
      <c r="M271" s="18"/>
      <c r="N271" s="22">
        <f>S272</f>
        <v>2.9</v>
      </c>
      <c r="O271" s="7" t="s">
        <v>0</v>
      </c>
      <c r="P271" s="42">
        <f>G266/35+M271/20</f>
        <v>0</v>
      </c>
      <c r="Q271" s="9" t="s">
        <v>262</v>
      </c>
      <c r="R271" s="74" t="s">
        <v>306</v>
      </c>
      <c r="S271" s="75" t="e">
        <f>P277</f>
        <v>#REF!</v>
      </c>
      <c r="T271" s="76" t="s">
        <v>274</v>
      </c>
      <c r="U271" s="77" t="s">
        <v>334</v>
      </c>
      <c r="W271" s="22">
        <f>AB224</f>
        <v>870.65269841269833</v>
      </c>
      <c r="X271" s="7" t="s">
        <v>0</v>
      </c>
      <c r="Y271" s="8">
        <f>M319/20+M320/20+E320/90</f>
        <v>0</v>
      </c>
      <c r="Z271" s="9" t="s">
        <v>262</v>
      </c>
      <c r="AA271" s="74" t="s">
        <v>306</v>
      </c>
      <c r="AB271" s="75">
        <f>Y277</f>
        <v>0</v>
      </c>
      <c r="AC271" s="76" t="s">
        <v>274</v>
      </c>
      <c r="AD271" s="77" t="s">
        <v>334</v>
      </c>
    </row>
    <row r="272" spans="1:30">
      <c r="A272" s="227"/>
      <c r="B272" s="81"/>
      <c r="C272" s="82"/>
      <c r="D272" s="21"/>
      <c r="E272" s="35"/>
      <c r="F272" s="33"/>
      <c r="G272" s="35"/>
      <c r="H272" s="118"/>
      <c r="I272" s="117"/>
      <c r="J272" s="175"/>
      <c r="K272" s="14"/>
      <c r="L272" s="21"/>
      <c r="M272" s="35"/>
      <c r="N272" s="36" t="s">
        <v>338</v>
      </c>
      <c r="O272" s="23" t="s">
        <v>5</v>
      </c>
      <c r="P272" s="24" t="e">
        <f>C271/35+#REF!/80+#REF!/35</f>
        <v>#REF!</v>
      </c>
      <c r="Q272" s="25" t="s">
        <v>262</v>
      </c>
      <c r="R272" s="26" t="s">
        <v>339</v>
      </c>
      <c r="S272" s="27">
        <f>P271*15+P273*5+P274*15+P275*12</f>
        <v>2.9</v>
      </c>
      <c r="T272" s="25" t="s">
        <v>264</v>
      </c>
      <c r="U272" s="28" t="e">
        <f>S272*4/S271</f>
        <v>#REF!</v>
      </c>
      <c r="W272" s="36" t="s">
        <v>338</v>
      </c>
      <c r="X272" s="23" t="s">
        <v>5</v>
      </c>
      <c r="Y272" s="24">
        <f>C319*0.6/40+E321/35+G320/35+K319/110</f>
        <v>0</v>
      </c>
      <c r="Z272" s="25" t="s">
        <v>262</v>
      </c>
      <c r="AA272" s="26" t="s">
        <v>339</v>
      </c>
      <c r="AB272" s="27">
        <f>Y271*15+Y273*5+Y274*15+Y275*12</f>
        <v>0</v>
      </c>
      <c r="AC272" s="25" t="s">
        <v>264</v>
      </c>
      <c r="AD272" s="28" t="e">
        <f>AB272*4/AB271</f>
        <v>#DIV/0!</v>
      </c>
    </row>
    <row r="273" spans="1:30">
      <c r="A273" s="227"/>
      <c r="B273" s="94"/>
      <c r="C273" s="35"/>
      <c r="D273" s="39"/>
      <c r="E273" s="35"/>
      <c r="F273" s="33"/>
      <c r="G273" s="35"/>
      <c r="H273" s="21"/>
      <c r="I273" s="35"/>
      <c r="J273" s="83"/>
      <c r="K273" s="38"/>
      <c r="L273" s="84"/>
      <c r="M273" s="85"/>
      <c r="N273" s="22" t="e">
        <f>S273</f>
        <v>#REF!</v>
      </c>
      <c r="O273" s="37" t="s">
        <v>318</v>
      </c>
      <c r="P273" s="24">
        <f>(G264+G263+G265+E274+I271+K255+K256+K257)/100</f>
        <v>0.57999999999999996</v>
      </c>
      <c r="Q273" s="25" t="s">
        <v>262</v>
      </c>
      <c r="R273" s="26" t="s">
        <v>319</v>
      </c>
      <c r="S273" s="27" t="e">
        <f>P272*5+P275*4+P276*5</f>
        <v>#REF!</v>
      </c>
      <c r="T273" s="25" t="s">
        <v>264</v>
      </c>
      <c r="U273" s="28" t="e">
        <f>S273*9/S271</f>
        <v>#REF!</v>
      </c>
      <c r="W273" s="22">
        <f>AB225</f>
        <v>121.2313725490196</v>
      </c>
      <c r="X273" s="37" t="s">
        <v>318</v>
      </c>
      <c r="Y273" s="24">
        <f>(E319+E322+G319+G321+G322+G324+K320+K321+K322+I319)/100</f>
        <v>0</v>
      </c>
      <c r="Z273" s="25" t="s">
        <v>262</v>
      </c>
      <c r="AA273" s="26" t="s">
        <v>319</v>
      </c>
      <c r="AB273" s="27">
        <f>Y272*5+Y275*4+Y276*5</f>
        <v>0</v>
      </c>
      <c r="AC273" s="25" t="s">
        <v>264</v>
      </c>
      <c r="AD273" s="28" t="e">
        <f>AB273*9/AB271</f>
        <v>#DIV/0!</v>
      </c>
    </row>
    <row r="274" spans="1:30">
      <c r="A274" s="227"/>
      <c r="B274" s="47"/>
      <c r="C274" s="48"/>
      <c r="D274" s="21"/>
      <c r="E274" s="35"/>
      <c r="F274" s="13"/>
      <c r="G274" s="35"/>
      <c r="H274" s="47"/>
      <c r="I274" s="48"/>
      <c r="J274" s="87"/>
      <c r="K274" s="35"/>
      <c r="L274" s="84"/>
      <c r="M274" s="85"/>
      <c r="N274" s="36" t="s">
        <v>260</v>
      </c>
      <c r="O274" s="41" t="s">
        <v>261</v>
      </c>
      <c r="P274" s="42">
        <v>0</v>
      </c>
      <c r="Q274" s="25" t="s">
        <v>262</v>
      </c>
      <c r="R274" s="26" t="s">
        <v>263</v>
      </c>
      <c r="S274" s="27" t="e">
        <f>P271*2+P272*7+P273*1+P275*8</f>
        <v>#REF!</v>
      </c>
      <c r="T274" s="25" t="s">
        <v>264</v>
      </c>
      <c r="U274" s="28" t="e">
        <f>S274*4/S271</f>
        <v>#REF!</v>
      </c>
      <c r="W274" s="36" t="s">
        <v>260</v>
      </c>
      <c r="X274" s="49" t="s">
        <v>261</v>
      </c>
      <c r="Y274" s="42">
        <v>0</v>
      </c>
      <c r="Z274" s="25" t="s">
        <v>262</v>
      </c>
      <c r="AA274" s="26" t="s">
        <v>263</v>
      </c>
      <c r="AB274" s="27">
        <f>Y271*2+Y272*7+Y273*1+Y275*8</f>
        <v>0</v>
      </c>
      <c r="AC274" s="25" t="s">
        <v>264</v>
      </c>
      <c r="AD274" s="28" t="e">
        <f>AB274*4/AB271</f>
        <v>#DIV/0!</v>
      </c>
    </row>
    <row r="275" spans="1:30">
      <c r="A275" s="227" t="s">
        <v>345</v>
      </c>
      <c r="B275" s="47"/>
      <c r="C275" s="48"/>
      <c r="D275" s="33"/>
      <c r="E275" s="35"/>
      <c r="F275" s="31"/>
      <c r="G275" s="14"/>
      <c r="H275" s="31"/>
      <c r="I275" s="140"/>
      <c r="J275" s="87"/>
      <c r="K275" s="35"/>
      <c r="L275" s="84"/>
      <c r="M275" s="85"/>
      <c r="N275" s="22" t="e">
        <f>S274</f>
        <v>#REF!</v>
      </c>
      <c r="O275" s="49" t="s">
        <v>9</v>
      </c>
      <c r="P275" s="42">
        <v>0</v>
      </c>
      <c r="Q275" s="25" t="s">
        <v>262</v>
      </c>
      <c r="R275" s="50"/>
      <c r="S275" s="50"/>
      <c r="T275" s="50"/>
      <c r="U275" s="51" t="e">
        <f>SUM(U272:U274)</f>
        <v>#REF!</v>
      </c>
      <c r="W275" s="22">
        <f>AB226</f>
        <v>26.428571428571431</v>
      </c>
      <c r="X275" s="49" t="s">
        <v>9</v>
      </c>
      <c r="Y275" s="42">
        <v>0</v>
      </c>
      <c r="Z275" s="25" t="s">
        <v>262</v>
      </c>
      <c r="AA275" s="50"/>
      <c r="AB275" s="50"/>
      <c r="AC275" s="50"/>
      <c r="AD275" s="51" t="e">
        <f>SUM(AD272:AD274)</f>
        <v>#DIV/0!</v>
      </c>
    </row>
    <row r="276" spans="1:30">
      <c r="A276" s="227"/>
      <c r="B276" s="13"/>
      <c r="C276" s="148"/>
      <c r="D276" s="47"/>
      <c r="E276" s="48"/>
      <c r="F276" s="31"/>
      <c r="G276" s="14"/>
      <c r="H276" s="31"/>
      <c r="I276" s="140"/>
      <c r="J276" s="103"/>
      <c r="K276" s="157"/>
      <c r="L276" s="84"/>
      <c r="M276" s="85"/>
      <c r="N276" s="36" t="s">
        <v>272</v>
      </c>
      <c r="O276" s="55" t="s">
        <v>269</v>
      </c>
      <c r="P276" s="42">
        <v>2.5</v>
      </c>
      <c r="Q276" s="25" t="s">
        <v>262</v>
      </c>
      <c r="R276" s="56"/>
      <c r="S276" s="56"/>
      <c r="T276" s="56"/>
      <c r="U276" s="57"/>
      <c r="W276" s="36" t="s">
        <v>272</v>
      </c>
      <c r="X276" s="55" t="s">
        <v>269</v>
      </c>
      <c r="Y276" s="42">
        <v>0</v>
      </c>
      <c r="Z276" s="25" t="s">
        <v>262</v>
      </c>
      <c r="AA276" s="56"/>
      <c r="AB276" s="56"/>
      <c r="AC276" s="56"/>
      <c r="AD276" s="57"/>
    </row>
    <row r="277" spans="1:30" ht="16.649999999999999" thickBot="1">
      <c r="A277" s="228"/>
      <c r="B277" s="223"/>
      <c r="C277" s="224"/>
      <c r="D277" s="223"/>
      <c r="E277" s="224"/>
      <c r="F277" s="223"/>
      <c r="G277" s="224"/>
      <c r="H277" s="223"/>
      <c r="I277" s="224"/>
      <c r="J277" s="223"/>
      <c r="K277" s="224"/>
      <c r="L277" s="223"/>
      <c r="M277" s="224"/>
      <c r="N277" s="65" t="e">
        <f>P277</f>
        <v>#REF!</v>
      </c>
      <c r="O277" s="59" t="s">
        <v>273</v>
      </c>
      <c r="P277" s="60" t="e">
        <f>P271*68+P272*73+P273*24+P274*60+P275*112+P276*45</f>
        <v>#REF!</v>
      </c>
      <c r="Q277" s="61" t="s">
        <v>274</v>
      </c>
      <c r="R277" s="62"/>
      <c r="S277" s="62"/>
      <c r="T277" s="62"/>
      <c r="U277" s="63"/>
      <c r="W277" s="65">
        <f>Y229</f>
        <v>2.4</v>
      </c>
      <c r="X277" s="59" t="s">
        <v>273</v>
      </c>
      <c r="Y277" s="60">
        <f>Y271*68+Y272*73+Y273*24+Y274*60+Y275*112+Y276*45</f>
        <v>0</v>
      </c>
      <c r="Z277" s="61" t="s">
        <v>274</v>
      </c>
      <c r="AA277" s="62"/>
      <c r="AB277" s="62"/>
      <c r="AC277" s="62"/>
      <c r="AD277" s="63"/>
    </row>
    <row r="278" spans="1:30" ht="16.649999999999999" thickBot="1">
      <c r="A278" s="215">
        <f>A270+1</f>
        <v>44106</v>
      </c>
      <c r="B278" s="217"/>
      <c r="C278" s="218"/>
      <c r="D278" s="217"/>
      <c r="E278" s="222"/>
      <c r="F278" s="250"/>
      <c r="G278" s="220"/>
      <c r="H278" s="217"/>
      <c r="I278" s="226"/>
      <c r="J278" s="219"/>
      <c r="K278" s="220"/>
      <c r="L278" s="217"/>
      <c r="M278" s="222"/>
      <c r="N278" s="6" t="s">
        <v>301</v>
      </c>
      <c r="O278" s="205" t="s">
        <v>302</v>
      </c>
      <c r="P278" s="206"/>
      <c r="Q278" s="207"/>
      <c r="R278" s="208" t="s">
        <v>303</v>
      </c>
      <c r="S278" s="209"/>
      <c r="T278" s="209"/>
      <c r="U278" s="210"/>
      <c r="W278" s="6" t="s">
        <v>301</v>
      </c>
      <c r="X278" s="196" t="s">
        <v>302</v>
      </c>
      <c r="Y278" s="197"/>
      <c r="Z278" s="198"/>
      <c r="AA278" s="199" t="s">
        <v>303</v>
      </c>
      <c r="AB278" s="200"/>
      <c r="AC278" s="200"/>
      <c r="AD278" s="201"/>
    </row>
    <row r="279" spans="1:30">
      <c r="A279" s="227"/>
      <c r="B279" s="13"/>
      <c r="C279" s="34"/>
      <c r="D279" s="113"/>
      <c r="E279" s="114"/>
      <c r="F279" s="130"/>
      <c r="G279" s="71"/>
      <c r="H279" s="15"/>
      <c r="I279" s="114"/>
      <c r="J279" s="90"/>
      <c r="K279" s="70"/>
      <c r="L279" s="115"/>
      <c r="M279" s="18"/>
      <c r="N279" s="22" t="e">
        <f>S280</f>
        <v>#REF!</v>
      </c>
      <c r="O279" s="7" t="s">
        <v>0</v>
      </c>
      <c r="P279" s="42">
        <f>G284/55+M279/20+M280/20</f>
        <v>0</v>
      </c>
      <c r="Q279" s="9" t="s">
        <v>262</v>
      </c>
      <c r="R279" s="74" t="s">
        <v>306</v>
      </c>
      <c r="S279" s="75" t="e">
        <f>P285</f>
        <v>#REF!</v>
      </c>
      <c r="T279" s="76" t="s">
        <v>3</v>
      </c>
      <c r="U279" s="93"/>
      <c r="W279" s="22">
        <f>AB232</f>
        <v>882.90540304523063</v>
      </c>
      <c r="X279" s="7" t="s">
        <v>0</v>
      </c>
      <c r="Y279" s="42">
        <f>M327/20+M328/20+E331/2/30</f>
        <v>0</v>
      </c>
      <c r="Z279" s="9" t="s">
        <v>1</v>
      </c>
      <c r="AA279" s="74" t="s">
        <v>2</v>
      </c>
      <c r="AB279" s="75">
        <f>Y285</f>
        <v>0</v>
      </c>
      <c r="AC279" s="76" t="s">
        <v>569</v>
      </c>
      <c r="AD279" s="93"/>
    </row>
    <row r="280" spans="1:30">
      <c r="A280" s="227"/>
      <c r="B280" s="81"/>
      <c r="C280" s="82"/>
      <c r="D280" s="21"/>
      <c r="E280" s="35"/>
      <c r="F280" s="152"/>
      <c r="G280" s="71"/>
      <c r="H280" s="33"/>
      <c r="I280" s="35"/>
      <c r="J280" s="89"/>
      <c r="K280" s="32"/>
      <c r="L280" s="21"/>
      <c r="M280" s="35"/>
      <c r="N280" s="36" t="s">
        <v>570</v>
      </c>
      <c r="O280" s="23" t="s">
        <v>5</v>
      </c>
      <c r="P280" s="24" t="e">
        <f>C279*0.58/40+E281/55+#REF!*0.52/35+#REF!/80</f>
        <v>#REF!</v>
      </c>
      <c r="Q280" s="25" t="s">
        <v>571</v>
      </c>
      <c r="R280" s="26" t="s">
        <v>572</v>
      </c>
      <c r="S280" s="27" t="e">
        <f>P279*15+P281*5+P282*15+P283*12</f>
        <v>#REF!</v>
      </c>
      <c r="T280" s="25" t="s">
        <v>573</v>
      </c>
      <c r="U280" s="28" t="e">
        <f>S280*4/S279</f>
        <v>#REF!</v>
      </c>
      <c r="W280" s="36" t="s">
        <v>570</v>
      </c>
      <c r="X280" s="23" t="s">
        <v>5</v>
      </c>
      <c r="Y280" s="24">
        <f>C327/35+E330/40+E331/2/35+G330/35+K327/80</f>
        <v>0</v>
      </c>
      <c r="Z280" s="25" t="s">
        <v>571</v>
      </c>
      <c r="AA280" s="26" t="s">
        <v>572</v>
      </c>
      <c r="AB280" s="27">
        <f>Y279*15+Y281*5+Y282*15+Y283*12</f>
        <v>0</v>
      </c>
      <c r="AC280" s="25" t="s">
        <v>573</v>
      </c>
      <c r="AD280" s="28" t="e">
        <f>AB280*4/AB279</f>
        <v>#DIV/0!</v>
      </c>
    </row>
    <row r="281" spans="1:30">
      <c r="A281" s="227"/>
      <c r="B281" s="54"/>
      <c r="C281" s="38"/>
      <c r="D281" s="39"/>
      <c r="E281" s="35"/>
      <c r="F281" s="156"/>
      <c r="G281" s="71"/>
      <c r="H281" s="33"/>
      <c r="I281" s="35"/>
      <c r="J281" s="87"/>
      <c r="K281" s="14"/>
      <c r="L281" s="13"/>
      <c r="M281" s="88"/>
      <c r="N281" s="22" t="e">
        <f>S281</f>
        <v>#REF!</v>
      </c>
      <c r="O281" s="37" t="s">
        <v>7</v>
      </c>
      <c r="P281" s="24" t="e">
        <f>(E279+E280+E281+E282+#REF!+#REF!+I279+#REF!+#REF!)/100</f>
        <v>#REF!</v>
      </c>
      <c r="Q281" s="25" t="s">
        <v>1</v>
      </c>
      <c r="R281" s="26" t="s">
        <v>8</v>
      </c>
      <c r="S281" s="27" t="e">
        <f>P280*5+P283*4+P284*5</f>
        <v>#REF!</v>
      </c>
      <c r="T281" s="25" t="s">
        <v>6</v>
      </c>
      <c r="U281" s="28" t="e">
        <f>S281*9/S279</f>
        <v>#REF!</v>
      </c>
      <c r="W281" s="22">
        <f>AB233</f>
        <v>123.35</v>
      </c>
      <c r="X281" s="37" t="s">
        <v>574</v>
      </c>
      <c r="Y281" s="24">
        <f>(C329+E327+E328+E329+G327+G328+G329+I327+K328+K329+K330)/100</f>
        <v>0</v>
      </c>
      <c r="Z281" s="25" t="s">
        <v>575</v>
      </c>
      <c r="AA281" s="26" t="s">
        <v>576</v>
      </c>
      <c r="AB281" s="27">
        <f>Y280*5+Y283*4+Y284*5</f>
        <v>0</v>
      </c>
      <c r="AC281" s="25" t="s">
        <v>577</v>
      </c>
      <c r="AD281" s="28" t="e">
        <f>AB281*9/AB279</f>
        <v>#DIV/0!</v>
      </c>
    </row>
    <row r="282" spans="1:30">
      <c r="A282" s="227"/>
      <c r="B282" s="83"/>
      <c r="C282" s="38"/>
      <c r="D282" s="152"/>
      <c r="E282" s="14"/>
      <c r="F282" s="152"/>
      <c r="G282" s="14"/>
      <c r="H282" s="21"/>
      <c r="I282" s="35"/>
      <c r="J282" s="89"/>
      <c r="K282" s="32"/>
      <c r="L282" s="33"/>
      <c r="M282" s="64"/>
      <c r="N282" s="36" t="s">
        <v>578</v>
      </c>
      <c r="O282" s="41" t="s">
        <v>579</v>
      </c>
      <c r="P282" s="42">
        <v>0</v>
      </c>
      <c r="Q282" s="25" t="s">
        <v>575</v>
      </c>
      <c r="R282" s="26" t="s">
        <v>580</v>
      </c>
      <c r="S282" s="27" t="e">
        <f>P279*2+P280*7+P281*1+P283*8</f>
        <v>#REF!</v>
      </c>
      <c r="T282" s="25" t="s">
        <v>577</v>
      </c>
      <c r="U282" s="28" t="e">
        <f>S282*4/S279</f>
        <v>#REF!</v>
      </c>
      <c r="W282" s="36" t="s">
        <v>578</v>
      </c>
      <c r="X282" s="49" t="s">
        <v>579</v>
      </c>
      <c r="Y282" s="42">
        <v>0</v>
      </c>
      <c r="Z282" s="25" t="s">
        <v>575</v>
      </c>
      <c r="AA282" s="26" t="s">
        <v>580</v>
      </c>
      <c r="AB282" s="27">
        <f>Y279*2+Y280*7+Y281*1+Y283*8</f>
        <v>0</v>
      </c>
      <c r="AC282" s="25" t="s">
        <v>577</v>
      </c>
      <c r="AD282" s="28" t="e">
        <f>AB282*4/AB279</f>
        <v>#DIV/0!</v>
      </c>
    </row>
    <row r="283" spans="1:30">
      <c r="A283" s="227" t="s">
        <v>581</v>
      </c>
      <c r="B283" s="13"/>
      <c r="C283" s="148"/>
      <c r="D283" s="152"/>
      <c r="E283" s="35"/>
      <c r="F283" s="152"/>
      <c r="G283" s="35"/>
      <c r="H283" s="21"/>
      <c r="I283" s="35"/>
      <c r="J283" s="103"/>
      <c r="K283" s="117"/>
      <c r="L283" s="33"/>
      <c r="M283" s="64"/>
      <c r="N283" s="22" t="e">
        <f>S282</f>
        <v>#REF!</v>
      </c>
      <c r="O283" s="49" t="s">
        <v>9</v>
      </c>
      <c r="P283" s="42">
        <v>0</v>
      </c>
      <c r="Q283" s="25" t="s">
        <v>1</v>
      </c>
      <c r="R283" s="50"/>
      <c r="S283" s="50"/>
      <c r="T283" s="50"/>
      <c r="U283" s="51" t="e">
        <f>SUM(U280:U282)</f>
        <v>#REF!</v>
      </c>
      <c r="W283" s="22">
        <f>AB234</f>
        <v>26.577082400358261</v>
      </c>
      <c r="X283" s="49" t="s">
        <v>9</v>
      </c>
      <c r="Y283" s="42">
        <v>0</v>
      </c>
      <c r="Z283" s="25" t="s">
        <v>1</v>
      </c>
      <c r="AA283" s="50"/>
      <c r="AB283" s="50"/>
      <c r="AC283" s="50"/>
      <c r="AD283" s="51" t="e">
        <f>SUM(AD280:AD282)</f>
        <v>#DIV/0!</v>
      </c>
    </row>
    <row r="284" spans="1:30">
      <c r="A284" s="227"/>
      <c r="B284" s="13"/>
      <c r="C284" s="148"/>
      <c r="D284" s="47"/>
      <c r="E284" s="48"/>
      <c r="F284" s="83"/>
      <c r="G284" s="38"/>
      <c r="H284" s="105"/>
      <c r="I284" s="88"/>
      <c r="J284" s="118"/>
      <c r="K284" s="117"/>
      <c r="L284" s="33"/>
      <c r="M284" s="64"/>
      <c r="N284" s="36" t="s">
        <v>12</v>
      </c>
      <c r="O284" s="55" t="s">
        <v>11</v>
      </c>
      <c r="P284" s="42">
        <v>2.5</v>
      </c>
      <c r="Q284" s="25" t="s">
        <v>1</v>
      </c>
      <c r="R284" s="56"/>
      <c r="S284" s="56"/>
      <c r="T284" s="56"/>
      <c r="U284" s="57"/>
      <c r="W284" s="36" t="s">
        <v>12</v>
      </c>
      <c r="X284" s="55" t="s">
        <v>11</v>
      </c>
      <c r="Y284" s="42">
        <v>0</v>
      </c>
      <c r="Z284" s="25" t="s">
        <v>1</v>
      </c>
      <c r="AA284" s="56"/>
      <c r="AB284" s="56"/>
      <c r="AC284" s="56"/>
      <c r="AD284" s="57"/>
    </row>
    <row r="285" spans="1:30" ht="16.649999999999999" thickBot="1">
      <c r="A285" s="228"/>
      <c r="B285" s="223"/>
      <c r="C285" s="224"/>
      <c r="D285" s="223"/>
      <c r="E285" s="224"/>
      <c r="F285" s="241"/>
      <c r="G285" s="224"/>
      <c r="H285" s="223"/>
      <c r="I285" s="224"/>
      <c r="J285" s="223"/>
      <c r="K285" s="224"/>
      <c r="L285" s="223"/>
      <c r="M285" s="224"/>
      <c r="N285" s="65" t="e">
        <f>P285</f>
        <v>#REF!</v>
      </c>
      <c r="O285" s="59" t="s">
        <v>582</v>
      </c>
      <c r="P285" s="60" t="e">
        <f>P279*68+P280*73+P281*24+P282*60+P283*112+P284*45</f>
        <v>#REF!</v>
      </c>
      <c r="Q285" s="61" t="s">
        <v>583</v>
      </c>
      <c r="R285" s="62"/>
      <c r="S285" s="62"/>
      <c r="T285" s="62"/>
      <c r="U285" s="63"/>
      <c r="W285" s="65">
        <f>Y237</f>
        <v>2.4</v>
      </c>
      <c r="X285" s="59" t="s">
        <v>13</v>
      </c>
      <c r="Y285" s="60">
        <f>Y279*68+Y280*73+Y281*24+Y282*60+Y283*112+Y284*45</f>
        <v>0</v>
      </c>
      <c r="Z285" s="61" t="s">
        <v>3</v>
      </c>
      <c r="AA285" s="62"/>
      <c r="AB285" s="62"/>
      <c r="AC285" s="62"/>
      <c r="AD285" s="63"/>
    </row>
    <row r="286" spans="1:30">
      <c r="A286" s="229" t="s">
        <v>24</v>
      </c>
      <c r="B286" s="240"/>
      <c r="C286" s="240"/>
      <c r="D286" s="240"/>
      <c r="E286" s="240"/>
      <c r="F286" s="240"/>
      <c r="G286" s="240"/>
      <c r="H286" s="240"/>
      <c r="I286" s="240"/>
      <c r="J286" s="240"/>
      <c r="K286" s="240"/>
      <c r="L286" s="240"/>
      <c r="M286" s="240"/>
    </row>
    <row r="287" spans="1:30">
      <c r="A287" s="230" t="s">
        <v>25</v>
      </c>
      <c r="B287" s="230"/>
      <c r="C287" s="230"/>
      <c r="D287" s="230"/>
      <c r="E287" s="230"/>
      <c r="F287" s="230"/>
      <c r="G287" s="230"/>
      <c r="H287" s="230"/>
      <c r="I287" s="230"/>
      <c r="J287" s="230"/>
      <c r="K287" s="230"/>
      <c r="L287" s="230"/>
      <c r="M287" s="230"/>
      <c r="N287" s="230"/>
    </row>
    <row r="288" spans="1:30">
      <c r="A288" s="231" t="s">
        <v>26</v>
      </c>
      <c r="B288" s="231"/>
      <c r="C288" s="231"/>
      <c r="D288" s="231"/>
      <c r="E288" s="231"/>
      <c r="F288" s="231"/>
      <c r="G288" s="231"/>
      <c r="H288" s="231"/>
      <c r="I288" s="231"/>
      <c r="J288" s="231"/>
      <c r="K288" s="231"/>
      <c r="L288" s="231"/>
      <c r="M288" s="231"/>
      <c r="N288" s="231"/>
    </row>
    <row r="289" spans="1:14">
      <c r="A289" s="232" t="s">
        <v>27</v>
      </c>
      <c r="B289" s="232"/>
      <c r="C289" s="232"/>
      <c r="D289" s="232"/>
      <c r="E289" s="232"/>
      <c r="F289" s="232"/>
      <c r="G289" s="232"/>
      <c r="H289" s="232"/>
      <c r="I289" s="232"/>
      <c r="J289" s="232"/>
      <c r="K289" s="232"/>
      <c r="L289" s="232"/>
      <c r="M289" s="232"/>
      <c r="N289" s="232"/>
    </row>
    <row r="290" spans="1:14">
      <c r="A290" s="233" t="s">
        <v>28</v>
      </c>
      <c r="B290" s="233"/>
      <c r="C290" s="233"/>
      <c r="D290" s="233"/>
      <c r="E290" s="233"/>
      <c r="F290" s="233"/>
      <c r="G290" s="233"/>
      <c r="H290" s="233"/>
      <c r="I290" s="233"/>
      <c r="J290" s="233"/>
      <c r="K290" s="233"/>
      <c r="L290" s="233"/>
      <c r="M290" s="233"/>
      <c r="N290" s="233"/>
    </row>
  </sheetData>
  <mergeCells count="545">
    <mergeCell ref="X96:AD96"/>
    <mergeCell ref="X143:AD143"/>
    <mergeCell ref="X190:AD190"/>
    <mergeCell ref="X245:AD245"/>
    <mergeCell ref="O35:Q35"/>
    <mergeCell ref="A40:A42"/>
    <mergeCell ref="B42:C42"/>
    <mergeCell ref="D42:E42"/>
    <mergeCell ref="F42:G42"/>
    <mergeCell ref="H42:I42"/>
    <mergeCell ref="J42:K42"/>
    <mergeCell ref="L42:M42"/>
    <mergeCell ref="L82:M82"/>
    <mergeCell ref="L89:M89"/>
    <mergeCell ref="D73:E73"/>
    <mergeCell ref="B66:C66"/>
    <mergeCell ref="D66:E66"/>
    <mergeCell ref="L57:M57"/>
    <mergeCell ref="A95:M95"/>
    <mergeCell ref="A90:M90"/>
    <mergeCell ref="A91:N91"/>
    <mergeCell ref="A92:N92"/>
    <mergeCell ref="A93:N93"/>
    <mergeCell ref="A94:N94"/>
    <mergeCell ref="L34:M34"/>
    <mergeCell ref="A35:A39"/>
    <mergeCell ref="B35:C35"/>
    <mergeCell ref="D35:E35"/>
    <mergeCell ref="F35:G35"/>
    <mergeCell ref="H35:I35"/>
    <mergeCell ref="J35:K35"/>
    <mergeCell ref="L35:M35"/>
    <mergeCell ref="A32:A34"/>
    <mergeCell ref="B34:C34"/>
    <mergeCell ref="D34:E34"/>
    <mergeCell ref="F34:G34"/>
    <mergeCell ref="H34:I34"/>
    <mergeCell ref="J34:K34"/>
    <mergeCell ref="L26:M26"/>
    <mergeCell ref="A27:A31"/>
    <mergeCell ref="B27:C27"/>
    <mergeCell ref="D27:E27"/>
    <mergeCell ref="F27:G27"/>
    <mergeCell ref="H27:I27"/>
    <mergeCell ref="J27:K27"/>
    <mergeCell ref="L27:M27"/>
    <mergeCell ref="A24:A26"/>
    <mergeCell ref="B26:C26"/>
    <mergeCell ref="D26:E26"/>
    <mergeCell ref="F26:G26"/>
    <mergeCell ref="H26:I26"/>
    <mergeCell ref="J26:K26"/>
    <mergeCell ref="A8:A10"/>
    <mergeCell ref="B10:C10"/>
    <mergeCell ref="D10:E10"/>
    <mergeCell ref="F10:G10"/>
    <mergeCell ref="H10:I10"/>
    <mergeCell ref="J10:K10"/>
    <mergeCell ref="A1:M1"/>
    <mergeCell ref="O2:U2"/>
    <mergeCell ref="A3:A7"/>
    <mergeCell ref="B3:C3"/>
    <mergeCell ref="D3:E3"/>
    <mergeCell ref="F3:G3"/>
    <mergeCell ref="H3:I3"/>
    <mergeCell ref="J3:K3"/>
    <mergeCell ref="L3:M3"/>
    <mergeCell ref="A87:A89"/>
    <mergeCell ref="B89:C89"/>
    <mergeCell ref="D89:E89"/>
    <mergeCell ref="F89:G89"/>
    <mergeCell ref="H89:I89"/>
    <mergeCell ref="J89:K89"/>
    <mergeCell ref="L81:M81"/>
    <mergeCell ref="A82:A86"/>
    <mergeCell ref="B82:C82"/>
    <mergeCell ref="D82:E82"/>
    <mergeCell ref="F82:G82"/>
    <mergeCell ref="H82:I82"/>
    <mergeCell ref="J82:K82"/>
    <mergeCell ref="A79:A81"/>
    <mergeCell ref="B81:C81"/>
    <mergeCell ref="D81:E81"/>
    <mergeCell ref="F81:G81"/>
    <mergeCell ref="H81:I81"/>
    <mergeCell ref="J81:K81"/>
    <mergeCell ref="F74:G74"/>
    <mergeCell ref="H74:I74"/>
    <mergeCell ref="J74:K74"/>
    <mergeCell ref="L74:M74"/>
    <mergeCell ref="A71:A73"/>
    <mergeCell ref="B73:C73"/>
    <mergeCell ref="F73:G73"/>
    <mergeCell ref="H73:I73"/>
    <mergeCell ref="J73:K73"/>
    <mergeCell ref="A290:N290"/>
    <mergeCell ref="J285:K285"/>
    <mergeCell ref="L285:M285"/>
    <mergeCell ref="A286:M286"/>
    <mergeCell ref="A287:N287"/>
    <mergeCell ref="A288:N288"/>
    <mergeCell ref="A289:N289"/>
    <mergeCell ref="L278:M278"/>
    <mergeCell ref="O278:Q278"/>
    <mergeCell ref="R278:U278"/>
    <mergeCell ref="A283:A285"/>
    <mergeCell ref="B285:C285"/>
    <mergeCell ref="D285:E285"/>
    <mergeCell ref="F285:G285"/>
    <mergeCell ref="H285:I285"/>
    <mergeCell ref="A278:A282"/>
    <mergeCell ref="B278:C278"/>
    <mergeCell ref="D278:E278"/>
    <mergeCell ref="F278:G278"/>
    <mergeCell ref="H278:I278"/>
    <mergeCell ref="J278:K278"/>
    <mergeCell ref="A275:A277"/>
    <mergeCell ref="B277:C277"/>
    <mergeCell ref="D277:E277"/>
    <mergeCell ref="F277:G277"/>
    <mergeCell ref="H277:I277"/>
    <mergeCell ref="J277:K277"/>
    <mergeCell ref="L277:M277"/>
    <mergeCell ref="A270:A274"/>
    <mergeCell ref="B270:C270"/>
    <mergeCell ref="D270:E270"/>
    <mergeCell ref="F270:G270"/>
    <mergeCell ref="H270:I270"/>
    <mergeCell ref="J270:K270"/>
    <mergeCell ref="L270:M270"/>
    <mergeCell ref="O270:Q270"/>
    <mergeCell ref="R270:U270"/>
    <mergeCell ref="A267:A269"/>
    <mergeCell ref="B269:C269"/>
    <mergeCell ref="D269:E269"/>
    <mergeCell ref="F269:G269"/>
    <mergeCell ref="H269:I269"/>
    <mergeCell ref="J269:K269"/>
    <mergeCell ref="L269:M269"/>
    <mergeCell ref="O262:Q262"/>
    <mergeCell ref="R262:U262"/>
    <mergeCell ref="L261:M261"/>
    <mergeCell ref="A262:A266"/>
    <mergeCell ref="B262:C262"/>
    <mergeCell ref="D262:E262"/>
    <mergeCell ref="F262:G262"/>
    <mergeCell ref="H262:I262"/>
    <mergeCell ref="J262:K262"/>
    <mergeCell ref="L262:M262"/>
    <mergeCell ref="A259:A261"/>
    <mergeCell ref="B261:C261"/>
    <mergeCell ref="D261:E261"/>
    <mergeCell ref="F261:G261"/>
    <mergeCell ref="H261:I261"/>
    <mergeCell ref="J261:K261"/>
    <mergeCell ref="J254:K254"/>
    <mergeCell ref="L254:M254"/>
    <mergeCell ref="O254:Q254"/>
    <mergeCell ref="R254:U254"/>
    <mergeCell ref="J253:K253"/>
    <mergeCell ref="L253:M253"/>
    <mergeCell ref="A254:A258"/>
    <mergeCell ref="B254:C254"/>
    <mergeCell ref="D254:E254"/>
    <mergeCell ref="F254:G254"/>
    <mergeCell ref="H254:I254"/>
    <mergeCell ref="A251:A253"/>
    <mergeCell ref="B253:C253"/>
    <mergeCell ref="D253:E253"/>
    <mergeCell ref="F253:G253"/>
    <mergeCell ref="H253:I253"/>
    <mergeCell ref="A244:M244"/>
    <mergeCell ref="O245:U245"/>
    <mergeCell ref="A246:A250"/>
    <mergeCell ref="B246:C246"/>
    <mergeCell ref="D246:E246"/>
    <mergeCell ref="F246:G246"/>
    <mergeCell ref="H246:I246"/>
    <mergeCell ref="J246:K246"/>
    <mergeCell ref="L246:M246"/>
    <mergeCell ref="A240:N240"/>
    <mergeCell ref="A241:N241"/>
    <mergeCell ref="A242:N242"/>
    <mergeCell ref="A243:N243"/>
    <mergeCell ref="O231:Q231"/>
    <mergeCell ref="R231:U231"/>
    <mergeCell ref="A236:A238"/>
    <mergeCell ref="B238:C238"/>
    <mergeCell ref="D238:E238"/>
    <mergeCell ref="F238:G238"/>
    <mergeCell ref="H238:I238"/>
    <mergeCell ref="J238:K238"/>
    <mergeCell ref="A231:A235"/>
    <mergeCell ref="B231:C231"/>
    <mergeCell ref="D231:E231"/>
    <mergeCell ref="F231:G231"/>
    <mergeCell ref="H231:I231"/>
    <mergeCell ref="J231:K231"/>
    <mergeCell ref="L231:M231"/>
    <mergeCell ref="L238:M238"/>
    <mergeCell ref="A239:M239"/>
    <mergeCell ref="L223:M223"/>
    <mergeCell ref="O223:Q223"/>
    <mergeCell ref="R223:U223"/>
    <mergeCell ref="A228:A230"/>
    <mergeCell ref="B230:C230"/>
    <mergeCell ref="D230:E230"/>
    <mergeCell ref="F230:G230"/>
    <mergeCell ref="H230:I230"/>
    <mergeCell ref="A223:A227"/>
    <mergeCell ref="B223:C223"/>
    <mergeCell ref="D223:E223"/>
    <mergeCell ref="F223:G223"/>
    <mergeCell ref="H223:I223"/>
    <mergeCell ref="J223:K223"/>
    <mergeCell ref="J230:K230"/>
    <mergeCell ref="L230:M230"/>
    <mergeCell ref="A220:A222"/>
    <mergeCell ref="B222:C222"/>
    <mergeCell ref="D222:E222"/>
    <mergeCell ref="F222:G222"/>
    <mergeCell ref="H222:I222"/>
    <mergeCell ref="J222:K222"/>
    <mergeCell ref="L222:M222"/>
    <mergeCell ref="L215:M215"/>
    <mergeCell ref="O215:Q215"/>
    <mergeCell ref="R215:U215"/>
    <mergeCell ref="J214:K214"/>
    <mergeCell ref="L214:M214"/>
    <mergeCell ref="A215:A219"/>
    <mergeCell ref="B215:C215"/>
    <mergeCell ref="D215:E215"/>
    <mergeCell ref="F215:G215"/>
    <mergeCell ref="H215:I215"/>
    <mergeCell ref="J215:K215"/>
    <mergeCell ref="A212:A214"/>
    <mergeCell ref="B214:C214"/>
    <mergeCell ref="D214:E214"/>
    <mergeCell ref="F214:G214"/>
    <mergeCell ref="H214:I214"/>
    <mergeCell ref="A207:A211"/>
    <mergeCell ref="B207:C207"/>
    <mergeCell ref="D207:E207"/>
    <mergeCell ref="F207:G207"/>
    <mergeCell ref="H207:I207"/>
    <mergeCell ref="J207:K207"/>
    <mergeCell ref="L207:M207"/>
    <mergeCell ref="O207:Q207"/>
    <mergeCell ref="R207:U207"/>
    <mergeCell ref="A204:A206"/>
    <mergeCell ref="B206:C206"/>
    <mergeCell ref="D206:E206"/>
    <mergeCell ref="F206:G206"/>
    <mergeCell ref="H206:I206"/>
    <mergeCell ref="J206:K206"/>
    <mergeCell ref="L206:M206"/>
    <mergeCell ref="J199:K199"/>
    <mergeCell ref="L199:M199"/>
    <mergeCell ref="O199:Q199"/>
    <mergeCell ref="R199:U199"/>
    <mergeCell ref="J198:K198"/>
    <mergeCell ref="L198:M198"/>
    <mergeCell ref="A199:A203"/>
    <mergeCell ref="B199:C199"/>
    <mergeCell ref="D199:E199"/>
    <mergeCell ref="F199:G199"/>
    <mergeCell ref="H199:I199"/>
    <mergeCell ref="A196:A198"/>
    <mergeCell ref="B198:C198"/>
    <mergeCell ref="D198:E198"/>
    <mergeCell ref="F198:G198"/>
    <mergeCell ref="H198:I198"/>
    <mergeCell ref="X142:AD142"/>
    <mergeCell ref="A191:A195"/>
    <mergeCell ref="B191:C191"/>
    <mergeCell ref="D191:E191"/>
    <mergeCell ref="F191:G191"/>
    <mergeCell ref="H191:I191"/>
    <mergeCell ref="J191:K191"/>
    <mergeCell ref="L191:M191"/>
    <mergeCell ref="L183:M183"/>
    <mergeCell ref="A184:M184"/>
    <mergeCell ref="A185:N185"/>
    <mergeCell ref="A186:N186"/>
    <mergeCell ref="A187:N187"/>
    <mergeCell ref="A188:N188"/>
    <mergeCell ref="O176:Q176"/>
    <mergeCell ref="R176:U176"/>
    <mergeCell ref="A181:A183"/>
    <mergeCell ref="B183:C183"/>
    <mergeCell ref="D183:E183"/>
    <mergeCell ref="F183:G183"/>
    <mergeCell ref="H183:I183"/>
    <mergeCell ref="J183:K183"/>
    <mergeCell ref="B167:C167"/>
    <mergeCell ref="A176:A180"/>
    <mergeCell ref="B176:C176"/>
    <mergeCell ref="D176:E176"/>
    <mergeCell ref="F176:G176"/>
    <mergeCell ref="H176:I176"/>
    <mergeCell ref="J176:K176"/>
    <mergeCell ref="L176:M176"/>
    <mergeCell ref="A189:M189"/>
    <mergeCell ref="O190:U190"/>
    <mergeCell ref="O168:Q168"/>
    <mergeCell ref="R168:U168"/>
    <mergeCell ref="A173:A175"/>
    <mergeCell ref="B175:C175"/>
    <mergeCell ref="D175:E175"/>
    <mergeCell ref="F175:G175"/>
    <mergeCell ref="H175:I175"/>
    <mergeCell ref="A168:A172"/>
    <mergeCell ref="B168:C168"/>
    <mergeCell ref="D168:E168"/>
    <mergeCell ref="F168:G168"/>
    <mergeCell ref="H168:I168"/>
    <mergeCell ref="J168:K168"/>
    <mergeCell ref="L168:M168"/>
    <mergeCell ref="J175:K175"/>
    <mergeCell ref="L175:M175"/>
    <mergeCell ref="R160:U160"/>
    <mergeCell ref="A165:A167"/>
    <mergeCell ref="D167:E167"/>
    <mergeCell ref="F167:G167"/>
    <mergeCell ref="H167:I167"/>
    <mergeCell ref="J167:K167"/>
    <mergeCell ref="A160:A164"/>
    <mergeCell ref="B160:C160"/>
    <mergeCell ref="D160:E160"/>
    <mergeCell ref="F160:G160"/>
    <mergeCell ref="H160:I160"/>
    <mergeCell ref="J160:K160"/>
    <mergeCell ref="L160:M160"/>
    <mergeCell ref="O160:Q160"/>
    <mergeCell ref="L167:M167"/>
    <mergeCell ref="A157:A159"/>
    <mergeCell ref="B159:C159"/>
    <mergeCell ref="D159:E159"/>
    <mergeCell ref="F159:G159"/>
    <mergeCell ref="H159:I159"/>
    <mergeCell ref="J159:K159"/>
    <mergeCell ref="L159:M159"/>
    <mergeCell ref="L152:M152"/>
    <mergeCell ref="O152:Q152"/>
    <mergeCell ref="B136:C136"/>
    <mergeCell ref="D136:E136"/>
    <mergeCell ref="F136:G136"/>
    <mergeCell ref="H136:I136"/>
    <mergeCell ref="J136:K136"/>
    <mergeCell ref="L128:M128"/>
    <mergeCell ref="R152:U152"/>
    <mergeCell ref="L151:M151"/>
    <mergeCell ref="A152:A156"/>
    <mergeCell ref="B152:C152"/>
    <mergeCell ref="D152:E152"/>
    <mergeCell ref="F152:G152"/>
    <mergeCell ref="H152:I152"/>
    <mergeCell ref="J152:K152"/>
    <mergeCell ref="A149:A151"/>
    <mergeCell ref="B151:C151"/>
    <mergeCell ref="D151:E151"/>
    <mergeCell ref="F151:G151"/>
    <mergeCell ref="H151:I151"/>
    <mergeCell ref="J151:K151"/>
    <mergeCell ref="R121:U121"/>
    <mergeCell ref="A126:A128"/>
    <mergeCell ref="B128:C128"/>
    <mergeCell ref="D128:E128"/>
    <mergeCell ref="F128:G128"/>
    <mergeCell ref="H128:I128"/>
    <mergeCell ref="J128:K128"/>
    <mergeCell ref="L144:M144"/>
    <mergeCell ref="A141:N141"/>
    <mergeCell ref="A142:M142"/>
    <mergeCell ref="O143:U143"/>
    <mergeCell ref="A144:A148"/>
    <mergeCell ref="B144:C144"/>
    <mergeCell ref="D144:E144"/>
    <mergeCell ref="F144:G144"/>
    <mergeCell ref="H144:I144"/>
    <mergeCell ref="J144:K144"/>
    <mergeCell ref="L136:M136"/>
    <mergeCell ref="A137:M137"/>
    <mergeCell ref="A138:N138"/>
    <mergeCell ref="A139:N139"/>
    <mergeCell ref="A140:N140"/>
    <mergeCell ref="R129:U129"/>
    <mergeCell ref="A134:A136"/>
    <mergeCell ref="A121:A125"/>
    <mergeCell ref="B121:C121"/>
    <mergeCell ref="D121:E121"/>
    <mergeCell ref="F121:G121"/>
    <mergeCell ref="H121:I121"/>
    <mergeCell ref="J121:K121"/>
    <mergeCell ref="L121:M121"/>
    <mergeCell ref="O121:Q121"/>
    <mergeCell ref="A129:A133"/>
    <mergeCell ref="B129:C129"/>
    <mergeCell ref="D129:E129"/>
    <mergeCell ref="F129:G129"/>
    <mergeCell ref="H129:I129"/>
    <mergeCell ref="J129:K129"/>
    <mergeCell ref="L129:M129"/>
    <mergeCell ref="O129:Q129"/>
    <mergeCell ref="R113:U113"/>
    <mergeCell ref="A118:A120"/>
    <mergeCell ref="B120:C120"/>
    <mergeCell ref="D120:E120"/>
    <mergeCell ref="F120:G120"/>
    <mergeCell ref="H120:I120"/>
    <mergeCell ref="J120:K120"/>
    <mergeCell ref="A113:A117"/>
    <mergeCell ref="B113:C113"/>
    <mergeCell ref="D113:E113"/>
    <mergeCell ref="F113:G113"/>
    <mergeCell ref="H113:I113"/>
    <mergeCell ref="J113:K113"/>
    <mergeCell ref="L113:M113"/>
    <mergeCell ref="O113:Q113"/>
    <mergeCell ref="L120:M120"/>
    <mergeCell ref="A110:A112"/>
    <mergeCell ref="B112:C112"/>
    <mergeCell ref="D112:E112"/>
    <mergeCell ref="F112:G112"/>
    <mergeCell ref="H112:I112"/>
    <mergeCell ref="J112:K112"/>
    <mergeCell ref="L112:M112"/>
    <mergeCell ref="L105:M105"/>
    <mergeCell ref="O105:Q105"/>
    <mergeCell ref="R105:U105"/>
    <mergeCell ref="L104:M104"/>
    <mergeCell ref="A105:A109"/>
    <mergeCell ref="B105:C105"/>
    <mergeCell ref="D105:E105"/>
    <mergeCell ref="F105:G105"/>
    <mergeCell ref="H105:I105"/>
    <mergeCell ref="J105:K105"/>
    <mergeCell ref="A102:A104"/>
    <mergeCell ref="B104:C104"/>
    <mergeCell ref="D104:E104"/>
    <mergeCell ref="F104:G104"/>
    <mergeCell ref="H104:I104"/>
    <mergeCell ref="J104:K104"/>
    <mergeCell ref="O96:U96"/>
    <mergeCell ref="X48:AD48"/>
    <mergeCell ref="A97:A101"/>
    <mergeCell ref="B97:C97"/>
    <mergeCell ref="D97:E97"/>
    <mergeCell ref="F97:G97"/>
    <mergeCell ref="H97:I97"/>
    <mergeCell ref="J97:K97"/>
    <mergeCell ref="L97:M97"/>
    <mergeCell ref="X95:AD95"/>
    <mergeCell ref="A58:A62"/>
    <mergeCell ref="B58:C58"/>
    <mergeCell ref="D58:E58"/>
    <mergeCell ref="F58:G58"/>
    <mergeCell ref="H58:I58"/>
    <mergeCell ref="J58:K58"/>
    <mergeCell ref="L58:M58"/>
    <mergeCell ref="A55:A57"/>
    <mergeCell ref="B57:C57"/>
    <mergeCell ref="D57:E57"/>
    <mergeCell ref="F57:G57"/>
    <mergeCell ref="H57:I57"/>
    <mergeCell ref="J57:K57"/>
    <mergeCell ref="L65:M65"/>
    <mergeCell ref="A43:M43"/>
    <mergeCell ref="A44:N44"/>
    <mergeCell ref="A45:N45"/>
    <mergeCell ref="A46:N46"/>
    <mergeCell ref="A47:N47"/>
    <mergeCell ref="X35:Z35"/>
    <mergeCell ref="AA35:AD35"/>
    <mergeCell ref="O82:Q82"/>
    <mergeCell ref="R82:U82"/>
    <mergeCell ref="A66:A70"/>
    <mergeCell ref="F66:G66"/>
    <mergeCell ref="H66:I66"/>
    <mergeCell ref="J66:K66"/>
    <mergeCell ref="L66:M66"/>
    <mergeCell ref="A63:A65"/>
    <mergeCell ref="B65:C65"/>
    <mergeCell ref="D65:E65"/>
    <mergeCell ref="F65:G65"/>
    <mergeCell ref="H65:I65"/>
    <mergeCell ref="J65:K65"/>
    <mergeCell ref="L73:M73"/>
    <mergeCell ref="A74:A78"/>
    <mergeCell ref="B74:C74"/>
    <mergeCell ref="D74:E74"/>
    <mergeCell ref="X27:Z27"/>
    <mergeCell ref="AA27:AD27"/>
    <mergeCell ref="O74:Q74"/>
    <mergeCell ref="R74:U74"/>
    <mergeCell ref="O66:Q66"/>
    <mergeCell ref="R66:U66"/>
    <mergeCell ref="X19:Z19"/>
    <mergeCell ref="AA19:AD19"/>
    <mergeCell ref="O19:Q19"/>
    <mergeCell ref="R19:U19"/>
    <mergeCell ref="O27:Q27"/>
    <mergeCell ref="R27:U27"/>
    <mergeCell ref="O58:Q58"/>
    <mergeCell ref="R58:U58"/>
    <mergeCell ref="X49:AD49"/>
    <mergeCell ref="L11:M11"/>
    <mergeCell ref="L18:M18"/>
    <mergeCell ref="A19:A23"/>
    <mergeCell ref="B19:C19"/>
    <mergeCell ref="D19:E19"/>
    <mergeCell ref="F19:G19"/>
    <mergeCell ref="H19:I19"/>
    <mergeCell ref="J19:K19"/>
    <mergeCell ref="L19:M19"/>
    <mergeCell ref="A16:A18"/>
    <mergeCell ref="B18:C18"/>
    <mergeCell ref="D18:E18"/>
    <mergeCell ref="F18:G18"/>
    <mergeCell ref="H18:I18"/>
    <mergeCell ref="J18:K18"/>
    <mergeCell ref="X3:Z3"/>
    <mergeCell ref="AA3:AD3"/>
    <mergeCell ref="A48:M48"/>
    <mergeCell ref="O49:U49"/>
    <mergeCell ref="X2:AD2"/>
    <mergeCell ref="A50:A54"/>
    <mergeCell ref="B50:C50"/>
    <mergeCell ref="D50:E50"/>
    <mergeCell ref="F50:G50"/>
    <mergeCell ref="H50:I50"/>
    <mergeCell ref="J50:K50"/>
    <mergeCell ref="L50:M50"/>
    <mergeCell ref="X11:Z11"/>
    <mergeCell ref="AA11:AD11"/>
    <mergeCell ref="O11:Q11"/>
    <mergeCell ref="R11:U11"/>
    <mergeCell ref="R35:U35"/>
    <mergeCell ref="L10:M10"/>
    <mergeCell ref="A11:A15"/>
    <mergeCell ref="B11:C11"/>
    <mergeCell ref="D11:E11"/>
    <mergeCell ref="F11:G11"/>
    <mergeCell ref="H11:I11"/>
    <mergeCell ref="J11:K11"/>
  </mergeCells>
  <phoneticPr fontId="3" type="noConversion"/>
  <printOptions horizontalCentered="1"/>
  <pageMargins left="0" right="0" top="0.15748031496062992" bottom="0.15748031496062992" header="0.43307086614173229" footer="0.15748031496062992"/>
  <pageSetup paperSize="9" scale="91" orientation="portrait" r:id="rId1"/>
  <headerFooter alignWithMargins="0"/>
  <rowBreaks count="5" manualBreakCount="5">
    <brk id="47" max="22" man="1"/>
    <brk id="94" max="22" man="1"/>
    <brk id="141" max="22" man="1"/>
    <brk id="188" max="22" man="1"/>
    <brk id="24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view="pageBreakPreview" zoomScale="85" zoomScaleNormal="85" zoomScaleSheetLayoutView="85" workbookViewId="0">
      <selection activeCell="R34" sqref="R34"/>
    </sheetView>
  </sheetViews>
  <sheetFormatPr defaultRowHeight="16.100000000000001"/>
  <cols>
    <col min="1" max="1" width="4.09765625" customWidth="1"/>
    <col min="2" max="13" width="10.59765625" customWidth="1"/>
  </cols>
  <sheetData>
    <row r="1" spans="1:16" ht="108" customHeight="1" thickBot="1">
      <c r="A1" s="288"/>
      <c r="B1" s="288"/>
      <c r="C1" s="288"/>
      <c r="D1" s="288"/>
      <c r="E1" s="288"/>
      <c r="F1" s="288"/>
      <c r="G1" s="288"/>
      <c r="H1" s="288"/>
      <c r="I1" s="288"/>
      <c r="J1" s="288"/>
      <c r="K1" s="289"/>
    </row>
    <row r="2" spans="1:16" s="188" customFormat="1">
      <c r="A2" s="268" t="s">
        <v>50</v>
      </c>
      <c r="B2" s="185"/>
      <c r="C2" s="186"/>
      <c r="D2" s="187"/>
      <c r="E2" s="186"/>
      <c r="F2" s="187"/>
      <c r="G2" s="186"/>
      <c r="H2" s="187">
        <v>44070</v>
      </c>
      <c r="I2" s="186" t="s">
        <v>21</v>
      </c>
      <c r="J2" s="187">
        <f>H2+1</f>
        <v>44071</v>
      </c>
      <c r="K2" s="186" t="s">
        <v>92</v>
      </c>
      <c r="L2" s="187">
        <f>J2+1</f>
        <v>44072</v>
      </c>
      <c r="M2" s="186" t="s">
        <v>93</v>
      </c>
    </row>
    <row r="3" spans="1:16" s="189" customFormat="1" ht="22.6" customHeight="1">
      <c r="A3" s="269"/>
      <c r="B3" s="271"/>
      <c r="C3" s="272"/>
      <c r="D3" s="271"/>
      <c r="E3" s="272"/>
      <c r="F3" s="271"/>
      <c r="G3" s="272"/>
      <c r="H3" s="271" t="s">
        <v>94</v>
      </c>
      <c r="I3" s="272"/>
      <c r="J3" s="271" t="s">
        <v>124</v>
      </c>
      <c r="K3" s="272"/>
      <c r="L3" s="273"/>
      <c r="M3" s="275"/>
    </row>
    <row r="4" spans="1:16" s="189" customFormat="1" ht="22.6" customHeight="1">
      <c r="A4" s="269"/>
      <c r="B4" s="282"/>
      <c r="C4" s="283"/>
      <c r="D4" s="282"/>
      <c r="E4" s="284"/>
      <c r="F4" s="282"/>
      <c r="G4" s="284"/>
      <c r="H4" s="282" t="s">
        <v>148</v>
      </c>
      <c r="I4" s="283"/>
      <c r="J4" s="282" t="s">
        <v>149</v>
      </c>
      <c r="K4" s="283"/>
      <c r="L4" s="276"/>
      <c r="M4" s="278"/>
      <c r="N4"/>
    </row>
    <row r="5" spans="1:16" s="189" customFormat="1" ht="22.6" customHeight="1">
      <c r="A5" s="269"/>
      <c r="B5" s="282"/>
      <c r="C5" s="283"/>
      <c r="D5" s="282"/>
      <c r="E5" s="284"/>
      <c r="F5" s="282"/>
      <c r="G5" s="284"/>
      <c r="H5" s="282"/>
      <c r="I5" s="283"/>
      <c r="J5" s="282"/>
      <c r="K5" s="283"/>
      <c r="L5" s="276"/>
      <c r="M5" s="278"/>
    </row>
    <row r="6" spans="1:16" s="189" customFormat="1" ht="22.6" customHeight="1">
      <c r="A6" s="269"/>
      <c r="B6" s="264"/>
      <c r="C6" s="265"/>
      <c r="D6" s="264"/>
      <c r="E6" s="265"/>
      <c r="F6" s="285"/>
      <c r="G6" s="286"/>
      <c r="H6" s="264" t="s">
        <v>147</v>
      </c>
      <c r="I6" s="265"/>
      <c r="J6" s="264" t="s">
        <v>150</v>
      </c>
      <c r="K6" s="265"/>
      <c r="L6" s="276"/>
      <c r="M6" s="278"/>
    </row>
    <row r="7" spans="1:16" s="189" customFormat="1" ht="22.6" customHeight="1">
      <c r="A7" s="269"/>
      <c r="B7" s="264"/>
      <c r="C7" s="265"/>
      <c r="D7" s="264"/>
      <c r="E7" s="265"/>
      <c r="F7" s="285"/>
      <c r="G7" s="286"/>
      <c r="H7" s="264" t="s">
        <v>151</v>
      </c>
      <c r="I7" s="265"/>
      <c r="J7" s="290" t="s">
        <v>647</v>
      </c>
      <c r="K7" s="291"/>
      <c r="L7" s="276"/>
      <c r="M7" s="278"/>
    </row>
    <row r="8" spans="1:16" s="189" customFormat="1" ht="22.6" customHeight="1">
      <c r="A8" s="269"/>
      <c r="B8" s="266"/>
      <c r="C8" s="267"/>
      <c r="D8" s="266"/>
      <c r="E8" s="267"/>
      <c r="F8" s="266"/>
      <c r="G8" s="267"/>
      <c r="H8" s="266" t="s">
        <v>178</v>
      </c>
      <c r="I8" s="267"/>
      <c r="J8" s="266" t="s">
        <v>179</v>
      </c>
      <c r="K8" s="267"/>
      <c r="L8" s="276"/>
      <c r="M8" s="278"/>
    </row>
    <row r="9" spans="1:16" s="189" customFormat="1" ht="22.6" customHeight="1" thickBot="1">
      <c r="A9" s="270"/>
      <c r="B9" s="256"/>
      <c r="C9" s="257"/>
      <c r="D9" s="258"/>
      <c r="E9" s="259"/>
      <c r="F9" s="258"/>
      <c r="G9" s="259"/>
      <c r="H9" s="258" t="s">
        <v>155</v>
      </c>
      <c r="I9" s="259"/>
      <c r="J9" s="258" t="s">
        <v>152</v>
      </c>
      <c r="K9" s="259"/>
      <c r="L9" s="276"/>
      <c r="M9" s="278"/>
    </row>
    <row r="10" spans="1:16" s="188" customFormat="1" ht="17.350000000000001" customHeight="1" thickBot="1">
      <c r="A10" s="190" t="s">
        <v>107</v>
      </c>
      <c r="B10" s="260"/>
      <c r="C10" s="261"/>
      <c r="D10" s="260"/>
      <c r="E10" s="261"/>
      <c r="F10" s="260"/>
      <c r="G10" s="261"/>
      <c r="H10" s="260">
        <f>'9月明細(午餐) '!W34</f>
        <v>887.3292207792208</v>
      </c>
      <c r="I10" s="261"/>
      <c r="J10" s="260">
        <f>'9月明細(午餐) '!W42</f>
        <v>841.27071428571435</v>
      </c>
      <c r="K10" s="261"/>
      <c r="L10" s="279"/>
      <c r="M10" s="281"/>
    </row>
    <row r="11" spans="1:16" s="188" customFormat="1" ht="17.45" customHeight="1">
      <c r="A11" s="268" t="s">
        <v>160</v>
      </c>
      <c r="B11" s="185">
        <v>44074</v>
      </c>
      <c r="C11" s="186" t="s">
        <v>51</v>
      </c>
      <c r="D11" s="187">
        <f>B11+1</f>
        <v>44075</v>
      </c>
      <c r="E11" s="186" t="s">
        <v>91</v>
      </c>
      <c r="F11" s="187">
        <f>D11+1</f>
        <v>44076</v>
      </c>
      <c r="G11" s="186" t="s">
        <v>52</v>
      </c>
      <c r="H11" s="187">
        <f>F11+1</f>
        <v>44077</v>
      </c>
      <c r="I11" s="186" t="s">
        <v>53</v>
      </c>
      <c r="J11" s="187">
        <f>H11+1</f>
        <v>44078</v>
      </c>
      <c r="K11" s="186" t="s">
        <v>92</v>
      </c>
      <c r="L11" s="187">
        <f>J11+1</f>
        <v>44079</v>
      </c>
      <c r="M11" s="186" t="s">
        <v>93</v>
      </c>
    </row>
    <row r="12" spans="1:16" s="189" customFormat="1" ht="22.6" customHeight="1">
      <c r="A12" s="269"/>
      <c r="B12" s="271" t="s">
        <v>650</v>
      </c>
      <c r="C12" s="272"/>
      <c r="D12" s="271" t="s">
        <v>134</v>
      </c>
      <c r="E12" s="272"/>
      <c r="F12" s="271" t="s">
        <v>122</v>
      </c>
      <c r="G12" s="272"/>
      <c r="H12" s="271" t="s">
        <v>94</v>
      </c>
      <c r="I12" s="272"/>
      <c r="J12" s="271" t="s">
        <v>124</v>
      </c>
      <c r="K12" s="272"/>
      <c r="L12" s="273"/>
      <c r="M12" s="275"/>
      <c r="P12" s="189" t="s">
        <v>62</v>
      </c>
    </row>
    <row r="13" spans="1:16" s="189" customFormat="1" ht="22.6" customHeight="1">
      <c r="A13" s="269"/>
      <c r="B13" s="282" t="s">
        <v>95</v>
      </c>
      <c r="C13" s="283"/>
      <c r="D13" s="282" t="s">
        <v>96</v>
      </c>
      <c r="E13" s="284"/>
      <c r="F13" s="282" t="s">
        <v>97</v>
      </c>
      <c r="G13" s="284"/>
      <c r="H13" s="282" t="s">
        <v>98</v>
      </c>
      <c r="I13" s="287"/>
      <c r="J13" s="282" t="s">
        <v>99</v>
      </c>
      <c r="K13" s="284"/>
      <c r="L13" s="276"/>
      <c r="M13" s="278"/>
    </row>
    <row r="14" spans="1:16" s="189" customFormat="1" ht="22.6" customHeight="1">
      <c r="A14" s="269"/>
      <c r="B14" s="282"/>
      <c r="C14" s="283"/>
      <c r="D14" s="282"/>
      <c r="E14" s="284"/>
      <c r="F14" s="282"/>
      <c r="G14" s="284"/>
      <c r="H14" s="282"/>
      <c r="I14" s="287"/>
      <c r="J14" s="282"/>
      <c r="K14" s="284"/>
      <c r="L14" s="276"/>
      <c r="M14" s="278"/>
    </row>
    <row r="15" spans="1:16" s="189" customFormat="1" ht="22.6" customHeight="1">
      <c r="A15" s="269"/>
      <c r="B15" s="264" t="s">
        <v>138</v>
      </c>
      <c r="C15" s="265"/>
      <c r="D15" s="264" t="s">
        <v>100</v>
      </c>
      <c r="E15" s="265"/>
      <c r="F15" s="285" t="s">
        <v>102</v>
      </c>
      <c r="G15" s="286"/>
      <c r="H15" s="264" t="s">
        <v>181</v>
      </c>
      <c r="I15" s="265"/>
      <c r="J15" s="264" t="s">
        <v>101</v>
      </c>
      <c r="K15" s="265"/>
      <c r="L15" s="276"/>
      <c r="M15" s="278"/>
    </row>
    <row r="16" spans="1:16" s="189" customFormat="1" ht="22.6" customHeight="1">
      <c r="A16" s="269"/>
      <c r="B16" s="264" t="s">
        <v>144</v>
      </c>
      <c r="C16" s="265"/>
      <c r="D16" s="264" t="s">
        <v>139</v>
      </c>
      <c r="E16" s="265"/>
      <c r="F16" s="285" t="s">
        <v>143</v>
      </c>
      <c r="G16" s="286"/>
      <c r="H16" s="264" t="s">
        <v>103</v>
      </c>
      <c r="I16" s="265"/>
      <c r="J16" s="264" t="s">
        <v>104</v>
      </c>
      <c r="K16" s="265"/>
      <c r="L16" s="276"/>
      <c r="M16" s="278"/>
    </row>
    <row r="17" spans="1:13" s="189" customFormat="1" ht="22.6" customHeight="1">
      <c r="A17" s="269"/>
      <c r="B17" s="266" t="s">
        <v>168</v>
      </c>
      <c r="C17" s="267"/>
      <c r="D17" s="266" t="s">
        <v>169</v>
      </c>
      <c r="E17" s="267"/>
      <c r="F17" s="266" t="s">
        <v>170</v>
      </c>
      <c r="G17" s="267"/>
      <c r="H17" s="266" t="s">
        <v>171</v>
      </c>
      <c r="I17" s="267"/>
      <c r="J17" s="266" t="s">
        <v>172</v>
      </c>
      <c r="K17" s="267"/>
      <c r="L17" s="276"/>
      <c r="M17" s="278"/>
    </row>
    <row r="18" spans="1:13" s="189" customFormat="1" ht="22.6" customHeight="1" thickBot="1">
      <c r="A18" s="270"/>
      <c r="B18" s="256" t="s">
        <v>154</v>
      </c>
      <c r="C18" s="257"/>
      <c r="D18" s="258" t="s">
        <v>105</v>
      </c>
      <c r="E18" s="259"/>
      <c r="F18" s="258" t="s">
        <v>123</v>
      </c>
      <c r="G18" s="259"/>
      <c r="H18" s="258" t="s">
        <v>167</v>
      </c>
      <c r="I18" s="259"/>
      <c r="J18" s="258" t="s">
        <v>106</v>
      </c>
      <c r="K18" s="259"/>
      <c r="L18" s="276"/>
      <c r="M18" s="278"/>
    </row>
    <row r="19" spans="1:13" s="188" customFormat="1" ht="17.350000000000001" customHeight="1" thickBot="1">
      <c r="A19" s="190" t="s">
        <v>107</v>
      </c>
      <c r="B19" s="260">
        <f>'9月明細(午餐) '!W57</f>
        <v>889.63480519480515</v>
      </c>
      <c r="C19" s="261"/>
      <c r="D19" s="260">
        <f>'9月明細(午餐) '!W65</f>
        <v>874.2576623376624</v>
      </c>
      <c r="E19" s="261"/>
      <c r="F19" s="260">
        <f>'9月明細(午餐) '!W73</f>
        <v>862.30052631578951</v>
      </c>
      <c r="G19" s="261"/>
      <c r="H19" s="260">
        <f>'9月明細(午餐) '!W81</f>
        <v>873.69412698412702</v>
      </c>
      <c r="I19" s="261"/>
      <c r="J19" s="260">
        <f>'9月明細(午餐) '!W89</f>
        <v>864.73253968253971</v>
      </c>
      <c r="K19" s="261"/>
      <c r="L19" s="279"/>
      <c r="M19" s="281"/>
    </row>
    <row r="20" spans="1:13" s="188" customFormat="1" ht="17.45" customHeight="1">
      <c r="A20" s="268" t="s">
        <v>161</v>
      </c>
      <c r="B20" s="185">
        <f>J11+3</f>
        <v>44081</v>
      </c>
      <c r="C20" s="186" t="s">
        <v>57</v>
      </c>
      <c r="D20" s="187">
        <f>B20+1</f>
        <v>44082</v>
      </c>
      <c r="E20" s="186" t="s">
        <v>58</v>
      </c>
      <c r="F20" s="187">
        <f>D20+1</f>
        <v>44083</v>
      </c>
      <c r="G20" s="186" t="s">
        <v>108</v>
      </c>
      <c r="H20" s="187">
        <f>F20+1</f>
        <v>44084</v>
      </c>
      <c r="I20" s="186" t="s">
        <v>109</v>
      </c>
      <c r="J20" s="187">
        <f>H20+1</f>
        <v>44085</v>
      </c>
      <c r="K20" s="186" t="s">
        <v>59</v>
      </c>
      <c r="L20" s="187">
        <f>J20+1</f>
        <v>44086</v>
      </c>
      <c r="M20" s="186" t="s">
        <v>60</v>
      </c>
    </row>
    <row r="21" spans="1:13" s="189" customFormat="1" ht="22.6" customHeight="1">
      <c r="A21" s="269"/>
      <c r="B21" s="271" t="s">
        <v>650</v>
      </c>
      <c r="C21" s="272"/>
      <c r="D21" s="271" t="s">
        <v>134</v>
      </c>
      <c r="E21" s="272"/>
      <c r="F21" s="271" t="s">
        <v>124</v>
      </c>
      <c r="G21" s="272"/>
      <c r="H21" s="271" t="s">
        <v>61</v>
      </c>
      <c r="I21" s="272"/>
      <c r="J21" s="271" t="s">
        <v>124</v>
      </c>
      <c r="K21" s="272"/>
      <c r="L21" s="273"/>
      <c r="M21" s="275"/>
    </row>
    <row r="22" spans="1:13" s="189" customFormat="1" ht="22.6" customHeight="1">
      <c r="A22" s="269"/>
      <c r="B22" s="282" t="s">
        <v>180</v>
      </c>
      <c r="C22" s="283"/>
      <c r="D22" s="282" t="s">
        <v>63</v>
      </c>
      <c r="E22" s="284"/>
      <c r="F22" s="282" t="s">
        <v>64</v>
      </c>
      <c r="G22" s="284"/>
      <c r="H22" s="282" t="s">
        <v>65</v>
      </c>
      <c r="I22" s="287"/>
      <c r="J22" s="282" t="s">
        <v>66</v>
      </c>
      <c r="K22" s="284"/>
      <c r="L22" s="276"/>
      <c r="M22" s="278"/>
    </row>
    <row r="23" spans="1:13" s="189" customFormat="1" ht="22.6" customHeight="1">
      <c r="A23" s="269"/>
      <c r="B23" s="282"/>
      <c r="C23" s="283"/>
      <c r="D23" s="282"/>
      <c r="E23" s="284"/>
      <c r="F23" s="282"/>
      <c r="G23" s="284"/>
      <c r="H23" s="282"/>
      <c r="I23" s="287"/>
      <c r="J23" s="282"/>
      <c r="K23" s="284"/>
      <c r="L23" s="276"/>
      <c r="M23" s="278"/>
    </row>
    <row r="24" spans="1:13" s="189" customFormat="1" ht="22.6" customHeight="1">
      <c r="A24" s="269"/>
      <c r="B24" s="264" t="s">
        <v>67</v>
      </c>
      <c r="C24" s="265"/>
      <c r="D24" s="264" t="s">
        <v>68</v>
      </c>
      <c r="E24" s="265"/>
      <c r="F24" s="262" t="s">
        <v>69</v>
      </c>
      <c r="G24" s="263"/>
      <c r="H24" s="264" t="s">
        <v>70</v>
      </c>
      <c r="I24" s="265"/>
      <c r="J24" s="264" t="s">
        <v>71</v>
      </c>
      <c r="K24" s="265"/>
      <c r="L24" s="276"/>
      <c r="M24" s="278"/>
    </row>
    <row r="25" spans="1:13" s="189" customFormat="1" ht="22.6" customHeight="1">
      <c r="A25" s="269"/>
      <c r="B25" s="264" t="s">
        <v>140</v>
      </c>
      <c r="C25" s="265"/>
      <c r="D25" s="264" t="s">
        <v>72</v>
      </c>
      <c r="E25" s="265"/>
      <c r="F25" s="285" t="s">
        <v>126</v>
      </c>
      <c r="G25" s="286"/>
      <c r="H25" s="264" t="s">
        <v>73</v>
      </c>
      <c r="I25" s="265"/>
      <c r="J25" s="264" t="s">
        <v>74</v>
      </c>
      <c r="K25" s="265"/>
      <c r="L25" s="276"/>
      <c r="M25" s="278"/>
    </row>
    <row r="26" spans="1:13" s="189" customFormat="1" ht="22.6" customHeight="1">
      <c r="A26" s="269"/>
      <c r="B26" s="266" t="s">
        <v>169</v>
      </c>
      <c r="C26" s="267"/>
      <c r="D26" s="266" t="s">
        <v>170</v>
      </c>
      <c r="E26" s="267"/>
      <c r="F26" s="266" t="s">
        <v>168</v>
      </c>
      <c r="G26" s="267"/>
      <c r="H26" s="266" t="s">
        <v>173</v>
      </c>
      <c r="I26" s="267"/>
      <c r="J26" s="266" t="s">
        <v>174</v>
      </c>
      <c r="K26" s="267"/>
      <c r="L26" s="276"/>
      <c r="M26" s="278"/>
    </row>
    <row r="27" spans="1:13" s="189" customFormat="1" ht="22.6" customHeight="1" thickBot="1">
      <c r="A27" s="270"/>
      <c r="B27" s="256" t="s">
        <v>133</v>
      </c>
      <c r="C27" s="257"/>
      <c r="D27" s="258" t="s">
        <v>153</v>
      </c>
      <c r="E27" s="259"/>
      <c r="F27" s="258" t="s">
        <v>136</v>
      </c>
      <c r="G27" s="259"/>
      <c r="H27" s="258" t="s">
        <v>75</v>
      </c>
      <c r="I27" s="259"/>
      <c r="J27" s="258" t="s">
        <v>76</v>
      </c>
      <c r="K27" s="259"/>
      <c r="L27" s="276"/>
      <c r="M27" s="278"/>
    </row>
    <row r="28" spans="1:13" s="188" customFormat="1" ht="17.350000000000001" customHeight="1" thickBot="1">
      <c r="A28" s="190" t="s">
        <v>77</v>
      </c>
      <c r="B28" s="260">
        <f>'9月明細(午餐) '!W104</f>
        <v>874.05558441558435</v>
      </c>
      <c r="C28" s="261"/>
      <c r="D28" s="260">
        <f>'9月明細(午餐) '!W112</f>
        <v>880.52995670995676</v>
      </c>
      <c r="E28" s="261"/>
      <c r="F28" s="260">
        <f>'9月明細(午餐) '!W120</f>
        <v>868.9028571428571</v>
      </c>
      <c r="G28" s="261"/>
      <c r="H28" s="260">
        <f>'9月明細(午餐) '!W128</f>
        <v>868.96279220779218</v>
      </c>
      <c r="I28" s="261"/>
      <c r="J28" s="260">
        <f>'9月明細(午餐) '!W136</f>
        <v>880.81126984126968</v>
      </c>
      <c r="K28" s="261"/>
      <c r="L28" s="279"/>
      <c r="M28" s="281"/>
    </row>
    <row r="29" spans="1:13" s="188" customFormat="1" ht="17.45" customHeight="1">
      <c r="A29" s="268" t="s">
        <v>162</v>
      </c>
      <c r="B29" s="191">
        <f>J20+3</f>
        <v>44088</v>
      </c>
      <c r="C29" s="192" t="s">
        <v>110</v>
      </c>
      <c r="D29" s="193">
        <f>B29+1</f>
        <v>44089</v>
      </c>
      <c r="E29" s="192" t="s">
        <v>111</v>
      </c>
      <c r="F29" s="193">
        <f>D29+1</f>
        <v>44090</v>
      </c>
      <c r="G29" s="192" t="s">
        <v>112</v>
      </c>
      <c r="H29" s="193">
        <f>F29+1</f>
        <v>44091</v>
      </c>
      <c r="I29" s="192" t="s">
        <v>78</v>
      </c>
      <c r="J29" s="193">
        <f>H29+1</f>
        <v>44092</v>
      </c>
      <c r="K29" s="192" t="s">
        <v>113</v>
      </c>
      <c r="L29" s="193">
        <f>J29+1</f>
        <v>44093</v>
      </c>
      <c r="M29" s="186" t="s">
        <v>54</v>
      </c>
    </row>
    <row r="30" spans="1:13" s="189" customFormat="1" ht="22.6" customHeight="1">
      <c r="A30" s="269"/>
      <c r="B30" s="271" t="s">
        <v>650</v>
      </c>
      <c r="C30" s="272"/>
      <c r="D30" s="271" t="s">
        <v>134</v>
      </c>
      <c r="E30" s="272"/>
      <c r="F30" s="271" t="s">
        <v>125</v>
      </c>
      <c r="G30" s="272"/>
      <c r="H30" s="271" t="s">
        <v>55</v>
      </c>
      <c r="I30" s="272"/>
      <c r="J30" s="271" t="s">
        <v>124</v>
      </c>
      <c r="K30" s="272"/>
      <c r="L30" s="273"/>
      <c r="M30" s="275"/>
    </row>
    <row r="31" spans="1:13" s="189" customFormat="1" ht="22.6" customHeight="1">
      <c r="A31" s="269"/>
      <c r="B31" s="282" t="s">
        <v>114</v>
      </c>
      <c r="C31" s="283"/>
      <c r="D31" s="282" t="s">
        <v>115</v>
      </c>
      <c r="E31" s="287"/>
      <c r="F31" s="282" t="s">
        <v>645</v>
      </c>
      <c r="G31" s="287"/>
      <c r="H31" s="282" t="s">
        <v>116</v>
      </c>
      <c r="I31" s="287"/>
      <c r="J31" s="282" t="s">
        <v>141</v>
      </c>
      <c r="K31" s="287"/>
      <c r="L31" s="276"/>
      <c r="M31" s="278"/>
    </row>
    <row r="32" spans="1:13" s="189" customFormat="1" ht="22.6" customHeight="1">
      <c r="A32" s="269"/>
      <c r="B32" s="282"/>
      <c r="C32" s="283"/>
      <c r="D32" s="282"/>
      <c r="E32" s="287"/>
      <c r="F32" s="282"/>
      <c r="G32" s="287"/>
      <c r="H32" s="282"/>
      <c r="I32" s="287"/>
      <c r="J32" s="282"/>
      <c r="K32" s="287"/>
      <c r="L32" s="276"/>
      <c r="M32" s="278"/>
    </row>
    <row r="33" spans="1:15" s="189" customFormat="1" ht="22.6" customHeight="1">
      <c r="A33" s="269"/>
      <c r="B33" s="264" t="s">
        <v>117</v>
      </c>
      <c r="C33" s="265"/>
      <c r="D33" s="264" t="s">
        <v>118</v>
      </c>
      <c r="E33" s="265"/>
      <c r="F33" s="285" t="s">
        <v>127</v>
      </c>
      <c r="G33" s="286"/>
      <c r="H33" s="264" t="s">
        <v>119</v>
      </c>
      <c r="I33" s="265"/>
      <c r="J33" s="264" t="s">
        <v>166</v>
      </c>
      <c r="K33" s="265"/>
      <c r="L33" s="276"/>
      <c r="M33" s="278"/>
    </row>
    <row r="34" spans="1:15" s="189" customFormat="1" ht="22.6" customHeight="1">
      <c r="A34" s="269"/>
      <c r="B34" s="264" t="s">
        <v>176</v>
      </c>
      <c r="C34" s="265"/>
      <c r="D34" s="264" t="s">
        <v>145</v>
      </c>
      <c r="E34" s="265"/>
      <c r="F34" s="285" t="s">
        <v>165</v>
      </c>
      <c r="G34" s="286"/>
      <c r="H34" s="264" t="s">
        <v>120</v>
      </c>
      <c r="I34" s="265"/>
      <c r="J34" s="264" t="s">
        <v>177</v>
      </c>
      <c r="K34" s="265"/>
      <c r="L34" s="276"/>
      <c r="M34" s="278"/>
    </row>
    <row r="35" spans="1:15" s="189" customFormat="1" ht="22.6" customHeight="1">
      <c r="A35" s="269"/>
      <c r="B35" s="266" t="s">
        <v>168</v>
      </c>
      <c r="C35" s="267"/>
      <c r="D35" s="266" t="s">
        <v>173</v>
      </c>
      <c r="E35" s="267"/>
      <c r="F35" s="266" t="s">
        <v>171</v>
      </c>
      <c r="G35" s="267"/>
      <c r="H35" s="266" t="s">
        <v>170</v>
      </c>
      <c r="I35" s="267"/>
      <c r="J35" s="266" t="s">
        <v>169</v>
      </c>
      <c r="K35" s="267"/>
      <c r="L35" s="276"/>
      <c r="M35" s="278"/>
    </row>
    <row r="36" spans="1:15" s="189" customFormat="1" ht="22.6" customHeight="1" thickBot="1">
      <c r="A36" s="270"/>
      <c r="B36" s="256" t="s">
        <v>159</v>
      </c>
      <c r="C36" s="257"/>
      <c r="D36" s="258" t="s">
        <v>121</v>
      </c>
      <c r="E36" s="259"/>
      <c r="F36" s="258" t="s">
        <v>128</v>
      </c>
      <c r="G36" s="259"/>
      <c r="H36" s="258" t="s">
        <v>156</v>
      </c>
      <c r="I36" s="259"/>
      <c r="J36" s="258" t="s">
        <v>157</v>
      </c>
      <c r="K36" s="259"/>
      <c r="L36" s="276"/>
      <c r="M36" s="278"/>
      <c r="O36"/>
    </row>
    <row r="37" spans="1:15" s="188" customFormat="1" ht="16.649999999999999" thickBot="1">
      <c r="A37" s="190" t="s">
        <v>56</v>
      </c>
      <c r="B37" s="260">
        <f>'9月明細(午餐) '!W151</f>
        <v>862.98030303030305</v>
      </c>
      <c r="C37" s="261"/>
      <c r="D37" s="260">
        <f>'9月明細(午餐) '!W159</f>
        <v>886.03909090909087</v>
      </c>
      <c r="E37" s="261"/>
      <c r="F37" s="260">
        <f>'9月明細(午餐) '!W167</f>
        <v>869.94857142857154</v>
      </c>
      <c r="G37" s="261"/>
      <c r="H37" s="260">
        <f>'9月明細(午餐) '!W175</f>
        <v>886.04452380952375</v>
      </c>
      <c r="I37" s="261"/>
      <c r="J37" s="260">
        <f>'9月明細(午餐) '!W183</f>
        <v>888.05292207792195</v>
      </c>
      <c r="K37" s="261"/>
      <c r="L37" s="279"/>
      <c r="M37" s="281"/>
    </row>
    <row r="38" spans="1:15" s="188" customFormat="1" ht="17.45" customHeight="1">
      <c r="A38" s="268" t="s">
        <v>163</v>
      </c>
      <c r="B38" s="185">
        <f>J29+3</f>
        <v>44095</v>
      </c>
      <c r="C38" s="186" t="s">
        <v>10</v>
      </c>
      <c r="D38" s="187">
        <f>B38+1</f>
        <v>44096</v>
      </c>
      <c r="E38" s="186" t="s">
        <v>15</v>
      </c>
      <c r="F38" s="187">
        <f>D38+1</f>
        <v>44097</v>
      </c>
      <c r="G38" s="186" t="s">
        <v>17</v>
      </c>
      <c r="H38" s="187">
        <f>F38+1</f>
        <v>44098</v>
      </c>
      <c r="I38" s="186" t="s">
        <v>21</v>
      </c>
      <c r="J38" s="187">
        <f>H38+1</f>
        <v>44099</v>
      </c>
      <c r="K38" s="186" t="s">
        <v>23</v>
      </c>
      <c r="L38" s="187">
        <f>J38+1</f>
        <v>44100</v>
      </c>
      <c r="M38" s="186" t="s">
        <v>42</v>
      </c>
    </row>
    <row r="39" spans="1:15" s="189" customFormat="1" ht="22.6" customHeight="1">
      <c r="A39" s="269"/>
      <c r="B39" s="271" t="s">
        <v>650</v>
      </c>
      <c r="C39" s="272"/>
      <c r="D39" s="271" t="s">
        <v>134</v>
      </c>
      <c r="E39" s="272"/>
      <c r="F39" s="271" t="s">
        <v>124</v>
      </c>
      <c r="G39" s="272"/>
      <c r="H39" s="271" t="s">
        <v>19</v>
      </c>
      <c r="I39" s="272"/>
      <c r="J39" s="271" t="s">
        <v>124</v>
      </c>
      <c r="K39" s="272"/>
      <c r="L39" s="271" t="s">
        <v>16</v>
      </c>
      <c r="M39" s="272"/>
    </row>
    <row r="40" spans="1:15" s="189" customFormat="1" ht="22.6" customHeight="1">
      <c r="A40" s="269"/>
      <c r="B40" s="282" t="s">
        <v>31</v>
      </c>
      <c r="C40" s="283"/>
      <c r="D40" s="282" t="s">
        <v>32</v>
      </c>
      <c r="E40" s="284"/>
      <c r="F40" s="282" t="s">
        <v>79</v>
      </c>
      <c r="G40" s="284"/>
      <c r="H40" s="282" t="s">
        <v>37</v>
      </c>
      <c r="I40" s="287"/>
      <c r="J40" s="282" t="s">
        <v>80</v>
      </c>
      <c r="K40" s="284"/>
      <c r="L40" s="282" t="s">
        <v>137</v>
      </c>
      <c r="M40" s="284"/>
    </row>
    <row r="41" spans="1:15" s="189" customFormat="1" ht="22.6" customHeight="1">
      <c r="A41" s="269"/>
      <c r="B41" s="282"/>
      <c r="C41" s="283"/>
      <c r="D41" s="282"/>
      <c r="E41" s="284"/>
      <c r="F41" s="282"/>
      <c r="G41" s="284"/>
      <c r="H41" s="282"/>
      <c r="I41" s="287"/>
      <c r="J41" s="282"/>
      <c r="K41" s="284"/>
      <c r="L41" s="282"/>
      <c r="M41" s="284"/>
    </row>
    <row r="42" spans="1:15" s="189" customFormat="1" ht="22.6" customHeight="1">
      <c r="A42" s="269"/>
      <c r="B42" s="264" t="s">
        <v>175</v>
      </c>
      <c r="C42" s="265"/>
      <c r="D42" s="264" t="s">
        <v>81</v>
      </c>
      <c r="E42" s="265"/>
      <c r="F42" s="262" t="s">
        <v>82</v>
      </c>
      <c r="G42" s="263"/>
      <c r="H42" s="264" t="s">
        <v>38</v>
      </c>
      <c r="I42" s="265"/>
      <c r="J42" s="264" t="s">
        <v>83</v>
      </c>
      <c r="K42" s="265"/>
      <c r="L42" s="262" t="s">
        <v>84</v>
      </c>
      <c r="M42" s="263"/>
    </row>
    <row r="43" spans="1:15" s="189" customFormat="1" ht="22.6" customHeight="1">
      <c r="A43" s="269"/>
      <c r="B43" s="264" t="s">
        <v>158</v>
      </c>
      <c r="C43" s="265"/>
      <c r="D43" s="264" t="s">
        <v>33</v>
      </c>
      <c r="E43" s="265"/>
      <c r="F43" s="285" t="s">
        <v>129</v>
      </c>
      <c r="G43" s="286"/>
      <c r="H43" s="264" t="s">
        <v>39</v>
      </c>
      <c r="I43" s="265"/>
      <c r="J43" s="264" t="s">
        <v>85</v>
      </c>
      <c r="K43" s="265"/>
      <c r="L43" s="285" t="s">
        <v>40</v>
      </c>
      <c r="M43" s="286"/>
    </row>
    <row r="44" spans="1:15" s="189" customFormat="1" ht="22.6" customHeight="1">
      <c r="A44" s="269"/>
      <c r="B44" s="266" t="s">
        <v>171</v>
      </c>
      <c r="C44" s="267"/>
      <c r="D44" s="266" t="s">
        <v>169</v>
      </c>
      <c r="E44" s="267"/>
      <c r="F44" s="266" t="s">
        <v>173</v>
      </c>
      <c r="G44" s="267"/>
      <c r="H44" s="266" t="s">
        <v>168</v>
      </c>
      <c r="I44" s="267"/>
      <c r="J44" s="266" t="s">
        <v>170</v>
      </c>
      <c r="K44" s="267"/>
      <c r="L44" s="266" t="s">
        <v>171</v>
      </c>
      <c r="M44" s="267"/>
    </row>
    <row r="45" spans="1:15" s="189" customFormat="1" ht="22.6" customHeight="1" thickBot="1">
      <c r="A45" s="270"/>
      <c r="B45" s="256" t="s">
        <v>30</v>
      </c>
      <c r="C45" s="257"/>
      <c r="D45" s="258" t="s">
        <v>34</v>
      </c>
      <c r="E45" s="259"/>
      <c r="F45" s="258" t="s">
        <v>130</v>
      </c>
      <c r="G45" s="259"/>
      <c r="H45" s="258" t="s">
        <v>29</v>
      </c>
      <c r="I45" s="259"/>
      <c r="J45" s="258" t="s">
        <v>14</v>
      </c>
      <c r="K45" s="259"/>
      <c r="L45" s="258" t="s">
        <v>41</v>
      </c>
      <c r="M45" s="259"/>
    </row>
    <row r="46" spans="1:15" s="188" customFormat="1" ht="17.350000000000001" customHeight="1" thickBot="1">
      <c r="A46" s="190" t="s">
        <v>86</v>
      </c>
      <c r="B46" s="260">
        <f>'9月明細(午餐) '!W198</f>
        <v>862.64909090909089</v>
      </c>
      <c r="C46" s="261"/>
      <c r="D46" s="260">
        <f>'9月明細(午餐) '!W206</f>
        <v>861.99952380952379</v>
      </c>
      <c r="E46" s="261"/>
      <c r="F46" s="260">
        <f>'9月明細(午餐) '!W214</f>
        <v>878.68428571428558</v>
      </c>
      <c r="G46" s="261"/>
      <c r="H46" s="260">
        <f>'9月明細(午餐) '!W222</f>
        <v>868.22785714285715</v>
      </c>
      <c r="I46" s="261"/>
      <c r="J46" s="260">
        <f>'9月明細(午餐) '!W230</f>
        <v>870.65269841269833</v>
      </c>
      <c r="K46" s="261"/>
      <c r="L46" s="260">
        <f>'9月明細(午餐) '!W238</f>
        <v>882.90540304523063</v>
      </c>
      <c r="M46" s="261"/>
    </row>
    <row r="47" spans="1:15" s="188" customFormat="1">
      <c r="A47" s="268" t="s">
        <v>164</v>
      </c>
      <c r="B47" s="185">
        <f>J38+3</f>
        <v>44102</v>
      </c>
      <c r="C47" s="186" t="s">
        <v>10</v>
      </c>
      <c r="D47" s="187">
        <f>B47+1</f>
        <v>44103</v>
      </c>
      <c r="E47" s="186" t="s">
        <v>15</v>
      </c>
      <c r="F47" s="187">
        <f>D47+1</f>
        <v>44104</v>
      </c>
      <c r="G47" s="186" t="s">
        <v>17</v>
      </c>
      <c r="H47" s="187">
        <f>F47+1</f>
        <v>44105</v>
      </c>
      <c r="I47" s="186" t="s">
        <v>21</v>
      </c>
      <c r="J47" s="194">
        <f>H47+1</f>
        <v>44106</v>
      </c>
      <c r="K47" s="186" t="s">
        <v>23</v>
      </c>
      <c r="L47" s="194">
        <f>J47+1</f>
        <v>44107</v>
      </c>
      <c r="M47" s="186" t="s">
        <v>42</v>
      </c>
    </row>
    <row r="48" spans="1:15" ht="22.15">
      <c r="A48" s="269"/>
      <c r="B48" s="271" t="s">
        <v>650</v>
      </c>
      <c r="C48" s="272"/>
      <c r="D48" s="271" t="s">
        <v>134</v>
      </c>
      <c r="E48" s="272"/>
      <c r="F48" s="271" t="s">
        <v>131</v>
      </c>
      <c r="G48" s="272"/>
      <c r="H48" s="273"/>
      <c r="I48" s="274"/>
      <c r="J48" s="274"/>
      <c r="K48" s="274"/>
      <c r="L48" s="274"/>
      <c r="M48" s="275"/>
    </row>
    <row r="49" spans="1:13">
      <c r="A49" s="269"/>
      <c r="B49" s="282" t="s">
        <v>46</v>
      </c>
      <c r="C49" s="283"/>
      <c r="D49" s="282" t="s">
        <v>47</v>
      </c>
      <c r="E49" s="284"/>
      <c r="F49" s="282" t="s">
        <v>646</v>
      </c>
      <c r="G49" s="284"/>
      <c r="H49" s="276"/>
      <c r="I49" s="277"/>
      <c r="J49" s="277"/>
      <c r="K49" s="277"/>
      <c r="L49" s="277"/>
      <c r="M49" s="278"/>
    </row>
    <row r="50" spans="1:13">
      <c r="A50" s="269"/>
      <c r="B50" s="282" t="s">
        <v>87</v>
      </c>
      <c r="C50" s="283"/>
      <c r="D50" s="282" t="s">
        <v>88</v>
      </c>
      <c r="E50" s="284"/>
      <c r="F50" s="282" t="s">
        <v>49</v>
      </c>
      <c r="G50" s="284"/>
      <c r="H50" s="276"/>
      <c r="I50" s="277"/>
      <c r="J50" s="277"/>
      <c r="K50" s="277"/>
      <c r="L50" s="277"/>
      <c r="M50" s="278"/>
    </row>
    <row r="51" spans="1:13" ht="22.15">
      <c r="A51" s="269"/>
      <c r="B51" s="264" t="s">
        <v>43</v>
      </c>
      <c r="C51" s="265"/>
      <c r="D51" s="264" t="s">
        <v>48</v>
      </c>
      <c r="E51" s="265"/>
      <c r="F51" s="262" t="s">
        <v>146</v>
      </c>
      <c r="G51" s="263"/>
      <c r="H51" s="276"/>
      <c r="I51" s="277"/>
      <c r="J51" s="277"/>
      <c r="K51" s="277"/>
      <c r="L51" s="277"/>
      <c r="M51" s="278"/>
    </row>
    <row r="52" spans="1:13" ht="22.15">
      <c r="A52" s="269"/>
      <c r="B52" s="264" t="s">
        <v>44</v>
      </c>
      <c r="C52" s="265"/>
      <c r="D52" s="264" t="s">
        <v>89</v>
      </c>
      <c r="E52" s="265"/>
      <c r="F52" s="262" t="s">
        <v>132</v>
      </c>
      <c r="G52" s="263"/>
      <c r="H52" s="276"/>
      <c r="I52" s="277"/>
      <c r="J52" s="277"/>
      <c r="K52" s="277"/>
      <c r="L52" s="277"/>
      <c r="M52" s="278"/>
    </row>
    <row r="53" spans="1:13" ht="22.15">
      <c r="A53" s="269"/>
      <c r="B53" s="266" t="s">
        <v>169</v>
      </c>
      <c r="C53" s="267"/>
      <c r="D53" s="266" t="s">
        <v>168</v>
      </c>
      <c r="E53" s="267"/>
      <c r="F53" s="266" t="s">
        <v>171</v>
      </c>
      <c r="G53" s="267"/>
      <c r="H53" s="276"/>
      <c r="I53" s="277"/>
      <c r="J53" s="277"/>
      <c r="K53" s="277"/>
      <c r="L53" s="277"/>
      <c r="M53" s="278"/>
    </row>
    <row r="54" spans="1:13" ht="22.75" thickBot="1">
      <c r="A54" s="270"/>
      <c r="B54" s="256" t="s">
        <v>45</v>
      </c>
      <c r="C54" s="257"/>
      <c r="D54" s="258" t="s">
        <v>142</v>
      </c>
      <c r="E54" s="259"/>
      <c r="F54" s="258" t="s">
        <v>135</v>
      </c>
      <c r="G54" s="259"/>
      <c r="H54" s="276"/>
      <c r="I54" s="277"/>
      <c r="J54" s="277"/>
      <c r="K54" s="277"/>
      <c r="L54" s="277"/>
      <c r="M54" s="278"/>
    </row>
    <row r="55" spans="1:13" ht="16.649999999999999" thickBot="1">
      <c r="A55" s="195" t="s">
        <v>86</v>
      </c>
      <c r="B55" s="260">
        <f>'9月明細(午餐) '!W253</f>
        <v>882.96906204906202</v>
      </c>
      <c r="C55" s="261"/>
      <c r="D55" s="260">
        <f>'9月明細(午餐) '!W261</f>
        <v>871.33337662337658</v>
      </c>
      <c r="E55" s="261"/>
      <c r="F55" s="260">
        <f>'9月明細(午餐) '!W269</f>
        <v>869.19714285714292</v>
      </c>
      <c r="G55" s="261"/>
      <c r="H55" s="279"/>
      <c r="I55" s="280"/>
      <c r="J55" s="280"/>
      <c r="K55" s="280"/>
      <c r="L55" s="280"/>
      <c r="M55" s="281"/>
    </row>
    <row r="56" spans="1:13" ht="38.799999999999997">
      <c r="A56" s="254" t="s">
        <v>90</v>
      </c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</row>
  </sheetData>
  <mergeCells count="216">
    <mergeCell ref="H9:I9"/>
    <mergeCell ref="J9:K9"/>
    <mergeCell ref="B10:C10"/>
    <mergeCell ref="D10:E10"/>
    <mergeCell ref="F10:G10"/>
    <mergeCell ref="H10:I10"/>
    <mergeCell ref="J10:K10"/>
    <mergeCell ref="L3:M10"/>
    <mergeCell ref="B4:C5"/>
    <mergeCell ref="D4:E5"/>
    <mergeCell ref="F4:G5"/>
    <mergeCell ref="H4:I5"/>
    <mergeCell ref="J4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A1:K1"/>
    <mergeCell ref="A11:A18"/>
    <mergeCell ref="B12:C12"/>
    <mergeCell ref="D12:E12"/>
    <mergeCell ref="F12:G12"/>
    <mergeCell ref="H12:I12"/>
    <mergeCell ref="J12:K12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A2:A9"/>
    <mergeCell ref="B3:C3"/>
    <mergeCell ref="D3:E3"/>
    <mergeCell ref="F3:G3"/>
    <mergeCell ref="H3:I3"/>
    <mergeCell ref="J3:K3"/>
    <mergeCell ref="L12:M19"/>
    <mergeCell ref="B13:C14"/>
    <mergeCell ref="D13:E14"/>
    <mergeCell ref="F13:G14"/>
    <mergeCell ref="H13:I14"/>
    <mergeCell ref="J13:K14"/>
    <mergeCell ref="B15:C15"/>
    <mergeCell ref="D15:E15"/>
    <mergeCell ref="F15:G15"/>
    <mergeCell ref="H15:I15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A20:A27"/>
    <mergeCell ref="B21:C21"/>
    <mergeCell ref="D21:E21"/>
    <mergeCell ref="F21:G21"/>
    <mergeCell ref="H21:I21"/>
    <mergeCell ref="J21:K21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L21:M28"/>
    <mergeCell ref="B22:C23"/>
    <mergeCell ref="D22:E23"/>
    <mergeCell ref="F22:G23"/>
    <mergeCell ref="H22:I23"/>
    <mergeCell ref="J22:K23"/>
    <mergeCell ref="B24:C24"/>
    <mergeCell ref="D24:E24"/>
    <mergeCell ref="F24:G24"/>
    <mergeCell ref="H24:I24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A29:A36"/>
    <mergeCell ref="B30:C30"/>
    <mergeCell ref="D30:E30"/>
    <mergeCell ref="F30:G30"/>
    <mergeCell ref="H30:I30"/>
    <mergeCell ref="J30:K30"/>
    <mergeCell ref="J33:K33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L30:M37"/>
    <mergeCell ref="B31:C32"/>
    <mergeCell ref="D31:E32"/>
    <mergeCell ref="F31:G32"/>
    <mergeCell ref="H31:I32"/>
    <mergeCell ref="J31:K32"/>
    <mergeCell ref="B33:C33"/>
    <mergeCell ref="D33:E33"/>
    <mergeCell ref="F33:G33"/>
    <mergeCell ref="H33:I33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L39:M39"/>
    <mergeCell ref="B40:C41"/>
    <mergeCell ref="D40:E41"/>
    <mergeCell ref="F40:G41"/>
    <mergeCell ref="H40:I41"/>
    <mergeCell ref="J40:K41"/>
    <mergeCell ref="L40:M41"/>
    <mergeCell ref="A38:A45"/>
    <mergeCell ref="B39:C39"/>
    <mergeCell ref="D39:E39"/>
    <mergeCell ref="F39:G39"/>
    <mergeCell ref="H39:I39"/>
    <mergeCell ref="J39:K39"/>
    <mergeCell ref="B42:C42"/>
    <mergeCell ref="D42:E42"/>
    <mergeCell ref="F42:G42"/>
    <mergeCell ref="H42:I42"/>
    <mergeCell ref="B44:C44"/>
    <mergeCell ref="D44:E44"/>
    <mergeCell ref="F44:G44"/>
    <mergeCell ref="H44:I44"/>
    <mergeCell ref="J44:K44"/>
    <mergeCell ref="L44:M44"/>
    <mergeCell ref="J42:K42"/>
    <mergeCell ref="L42:M42"/>
    <mergeCell ref="B43:C43"/>
    <mergeCell ref="D43:E43"/>
    <mergeCell ref="F43:G43"/>
    <mergeCell ref="H43:I43"/>
    <mergeCell ref="J43:K43"/>
    <mergeCell ref="L43:M43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A56:M56"/>
    <mergeCell ref="B54:C54"/>
    <mergeCell ref="D54:E54"/>
    <mergeCell ref="F54:G54"/>
    <mergeCell ref="B55:C55"/>
    <mergeCell ref="D55:E55"/>
    <mergeCell ref="F55:G55"/>
    <mergeCell ref="F51:G51"/>
    <mergeCell ref="B52:C52"/>
    <mergeCell ref="D52:E52"/>
    <mergeCell ref="F52:G52"/>
    <mergeCell ref="B53:C53"/>
    <mergeCell ref="D53:E53"/>
    <mergeCell ref="F53:G53"/>
    <mergeCell ref="A47:A54"/>
    <mergeCell ref="B48:C48"/>
    <mergeCell ref="D48:E48"/>
    <mergeCell ref="F48:G48"/>
    <mergeCell ref="H48:M55"/>
    <mergeCell ref="B49:C50"/>
    <mergeCell ref="D49:E50"/>
    <mergeCell ref="F49:G50"/>
    <mergeCell ref="B51:C51"/>
    <mergeCell ref="D51:E51"/>
  </mergeCells>
  <phoneticPr fontId="3" type="noConversion"/>
  <printOptions horizontalCentered="1" verticalCentered="1"/>
  <pageMargins left="0.19685039370078741" right="0.19685039370078741" top="7.874015748031496E-2" bottom="0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9月明細(午餐) </vt:lpstr>
      <vt:lpstr>國高中(x蔬+W三特)</vt:lpstr>
      <vt:lpstr>'9月明細(午餐) '!Print_Area</vt:lpstr>
      <vt:lpstr>'國高中(x蔬+W三特)'!Print_Area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2020-08-24T03:48:31Z</cp:lastPrinted>
  <dcterms:created xsi:type="dcterms:W3CDTF">2020-08-04T07:16:25Z</dcterms:created>
  <dcterms:modified xsi:type="dcterms:W3CDTF">2020-08-31T06:27:48Z</dcterms:modified>
</cp:coreProperties>
</file>