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團膳菜單\109.11月菜單\"/>
    </mc:Choice>
  </mc:AlternateContent>
  <bookViews>
    <workbookView xWindow="0" yWindow="0" windowWidth="21268" windowHeight="8208"/>
  </bookViews>
  <sheets>
    <sheet name="興大附農" sheetId="2" r:id="rId1"/>
    <sheet name="11月明細(午餐)" sheetId="1" r:id="rId2"/>
  </sheets>
  <definedNames>
    <definedName name="_xlnm.Print_Area" localSheetId="1">'11月明細(午餐)'!$A$1:$O$236</definedName>
    <definedName name="_xlnm.Print_Area" localSheetId="0">興大附農!$A$1:$U$55</definedName>
  </definedNames>
  <calcPr calcId="162913"/>
</workbook>
</file>

<file path=xl/calcChain.xml><?xml version="1.0" encoding="utf-8"?>
<calcChain xmlns="http://schemas.openxmlformats.org/spreadsheetml/2006/main">
  <c r="Q37" i="1" l="1"/>
  <c r="Q36" i="1"/>
  <c r="Q163" i="1" l="1"/>
  <c r="Q69" i="1"/>
  <c r="Q194" i="1" l="1"/>
  <c r="Q196" i="1"/>
  <c r="Q195" i="1"/>
  <c r="Q193" i="1"/>
  <c r="Q180" i="1"/>
  <c r="Q179" i="1"/>
  <c r="Q178" i="1"/>
  <c r="Q172" i="1"/>
  <c r="Q170" i="1"/>
  <c r="Q171" i="1"/>
  <c r="Q165" i="1"/>
  <c r="Q164" i="1"/>
  <c r="Q162" i="1"/>
  <c r="Q156" i="1"/>
  <c r="Q155" i="1"/>
  <c r="Q154" i="1"/>
  <c r="Q148" i="1"/>
  <c r="Q147" i="1"/>
  <c r="Q146" i="1"/>
  <c r="Q133" i="1"/>
  <c r="Q132" i="1"/>
  <c r="Q131" i="1"/>
  <c r="Q125" i="1"/>
  <c r="Q124" i="1"/>
  <c r="Q123" i="1"/>
  <c r="Q101" i="1"/>
  <c r="Q100" i="1"/>
  <c r="Q99" i="1"/>
  <c r="Q86" i="1"/>
  <c r="Q84" i="1"/>
  <c r="Q85" i="1"/>
  <c r="Q78" i="1"/>
  <c r="Q77" i="1"/>
  <c r="Q76" i="1"/>
  <c r="Q70" i="1"/>
  <c r="Q71" i="1"/>
  <c r="Q68" i="1"/>
  <c r="Q62" i="1"/>
  <c r="Q61" i="1"/>
  <c r="Q60" i="1"/>
  <c r="Q55" i="1"/>
  <c r="Q54" i="1"/>
  <c r="Q52" i="1"/>
  <c r="Q53" i="1"/>
  <c r="Q38" i="1"/>
  <c r="Q30" i="1"/>
  <c r="Q29" i="1"/>
  <c r="Q28" i="1"/>
  <c r="Q22" i="1"/>
  <c r="Q21" i="1"/>
  <c r="Q20" i="1"/>
  <c r="Q14" i="1"/>
  <c r="Q6" i="1"/>
  <c r="Q13" i="1"/>
  <c r="Q12" i="1"/>
  <c r="Q5" i="1"/>
  <c r="Q4" i="1"/>
  <c r="Q225" i="1" l="1"/>
  <c r="Q217" i="1"/>
  <c r="Q209" i="1"/>
  <c r="Q201" i="1"/>
  <c r="Q107" i="1"/>
  <c r="Q115" i="1"/>
  <c r="Q117" i="1"/>
  <c r="Q116" i="1"/>
  <c r="Q109" i="1"/>
  <c r="Q108" i="1"/>
  <c r="Q128" i="1" l="1"/>
  <c r="F2" i="2" l="1"/>
  <c r="J2" i="2" s="1"/>
  <c r="N2" i="2" s="1"/>
  <c r="R2" i="2" s="1"/>
  <c r="B14" i="2" s="1"/>
  <c r="F14" i="2" s="1"/>
  <c r="J14" i="2" s="1"/>
  <c r="N14" i="2" s="1"/>
  <c r="R14" i="2" s="1"/>
  <c r="B24" i="2" s="1"/>
  <c r="F24" i="2" s="1"/>
  <c r="J24" i="2" s="1"/>
  <c r="N24" i="2" s="1"/>
  <c r="R24" i="2" s="1"/>
  <c r="B34" i="2" s="1"/>
  <c r="F34" i="2" s="1"/>
  <c r="J34" i="2" s="1"/>
  <c r="N34" i="2" s="1"/>
  <c r="R34" i="2" s="1"/>
  <c r="B44" i="2" s="1"/>
  <c r="F44" i="2" s="1"/>
  <c r="J44" i="2" s="1"/>
  <c r="N44" i="2" s="1"/>
  <c r="R44" i="2" s="1"/>
  <c r="Q227" i="1" l="1"/>
  <c r="Q226" i="1"/>
  <c r="T227" i="1" s="1"/>
  <c r="O227" i="1" s="1"/>
  <c r="S53" i="2" s="1"/>
  <c r="Q219" i="1"/>
  <c r="Q218" i="1"/>
  <c r="T219" i="1" s="1"/>
  <c r="O219" i="1" s="1"/>
  <c r="O53" i="2" s="1"/>
  <c r="Q211" i="1"/>
  <c r="Q210" i="1"/>
  <c r="T211" i="1" s="1"/>
  <c r="Q203" i="1"/>
  <c r="Q202" i="1"/>
  <c r="T203" i="1" s="1"/>
  <c r="O203" i="1" s="1"/>
  <c r="G53" i="2" s="1"/>
  <c r="T195" i="1"/>
  <c r="T180" i="1"/>
  <c r="O180" i="1" s="1"/>
  <c r="S43" i="2" s="1"/>
  <c r="T172" i="1"/>
  <c r="T164" i="1"/>
  <c r="O164" i="1" s="1"/>
  <c r="K43" i="2" s="1"/>
  <c r="T156" i="1"/>
  <c r="O156" i="1" s="1"/>
  <c r="G43" i="2" s="1"/>
  <c r="T148" i="1"/>
  <c r="O148" i="1" s="1"/>
  <c r="C43" i="2" s="1"/>
  <c r="T147" i="1"/>
  <c r="Q134" i="1"/>
  <c r="T134" i="1"/>
  <c r="O135" i="1" s="1"/>
  <c r="U32" i="2" s="1"/>
  <c r="Q126" i="1"/>
  <c r="Q129" i="1" s="1"/>
  <c r="T125" i="1"/>
  <c r="T117" i="1"/>
  <c r="T109" i="1"/>
  <c r="O109" i="1" s="1"/>
  <c r="G33" i="2" s="1"/>
  <c r="T101" i="1"/>
  <c r="O101" i="1" s="1"/>
  <c r="C33" i="2" s="1"/>
  <c r="T86" i="1"/>
  <c r="T78" i="1"/>
  <c r="O78" i="1" s="1"/>
  <c r="O23" i="2" s="1"/>
  <c r="T70" i="1"/>
  <c r="O70" i="1" s="1"/>
  <c r="K23" i="2" s="1"/>
  <c r="T62" i="1"/>
  <c r="T54" i="1"/>
  <c r="O54" i="1" s="1"/>
  <c r="C23" i="2" s="1"/>
  <c r="T38" i="1"/>
  <c r="O38" i="1" s="1"/>
  <c r="S13" i="2" s="1"/>
  <c r="T22" i="1"/>
  <c r="O22" i="1" s="1"/>
  <c r="T14" i="1"/>
  <c r="O14" i="1" s="1"/>
  <c r="G13" i="2" s="1"/>
  <c r="A11" i="1"/>
  <c r="A19" i="1" s="1"/>
  <c r="A27" i="1" s="1"/>
  <c r="A35" i="1" s="1"/>
  <c r="A51" i="1" s="1"/>
  <c r="A59" i="1" s="1"/>
  <c r="A67" i="1" s="1"/>
  <c r="A75" i="1" s="1"/>
  <c r="A83" i="1" s="1"/>
  <c r="A98" i="1" s="1"/>
  <c r="A106" i="1" s="1"/>
  <c r="A114" i="1" s="1"/>
  <c r="A122" i="1" s="1"/>
  <c r="A130" i="1" s="1"/>
  <c r="A145" i="1" s="1"/>
  <c r="A153" i="1" s="1"/>
  <c r="A161" i="1" s="1"/>
  <c r="A169" i="1" s="1"/>
  <c r="A177" i="1" s="1"/>
  <c r="A192" i="1" s="1"/>
  <c r="A200" i="1" s="1"/>
  <c r="A208" i="1" s="1"/>
  <c r="A216" i="1" s="1"/>
  <c r="A224" i="1" s="1"/>
  <c r="T6" i="1"/>
  <c r="K13" i="2" l="1"/>
  <c r="O13" i="2"/>
  <c r="Q26" i="1"/>
  <c r="O26" i="1" s="1"/>
  <c r="M13" i="2" s="1"/>
  <c r="T53" i="1"/>
  <c r="O52" i="1" s="1"/>
  <c r="C22" i="2" s="1"/>
  <c r="T118" i="1"/>
  <c r="O119" i="1" s="1"/>
  <c r="M32" i="2" s="1"/>
  <c r="T116" i="1"/>
  <c r="O115" i="1" s="1"/>
  <c r="K32" i="2" s="1"/>
  <c r="T61" i="1"/>
  <c r="O60" i="1" s="1"/>
  <c r="G22" i="2" s="1"/>
  <c r="Q168" i="1"/>
  <c r="O168" i="1" s="1"/>
  <c r="M43" i="2" s="1"/>
  <c r="Q199" i="1"/>
  <c r="O199" i="1" s="1"/>
  <c r="E53" i="2" s="1"/>
  <c r="T204" i="1"/>
  <c r="O205" i="1" s="1"/>
  <c r="I52" i="2" s="1"/>
  <c r="Q105" i="1"/>
  <c r="O105" i="1" s="1"/>
  <c r="E33" i="2" s="1"/>
  <c r="T5" i="1"/>
  <c r="O4" i="1" s="1"/>
  <c r="C12" i="2" s="1"/>
  <c r="Q176" i="1"/>
  <c r="O176" i="1" s="1"/>
  <c r="Q43" i="2" s="1"/>
  <c r="T85" i="1"/>
  <c r="O84" i="1" s="1"/>
  <c r="S22" i="2" s="1"/>
  <c r="T31" i="1"/>
  <c r="O32" i="1" s="1"/>
  <c r="Q12" i="2" s="1"/>
  <c r="T210" i="1"/>
  <c r="O209" i="1" s="1"/>
  <c r="K52" i="2" s="1"/>
  <c r="Q58" i="1"/>
  <c r="T52" i="1" s="1"/>
  <c r="T79" i="1"/>
  <c r="O80" i="1" s="1"/>
  <c r="Q22" i="2" s="1"/>
  <c r="T77" i="1"/>
  <c r="O76" i="1" s="1"/>
  <c r="O22" i="2" s="1"/>
  <c r="Q121" i="1"/>
  <c r="O121" i="1" s="1"/>
  <c r="M33" i="2" s="1"/>
  <c r="T163" i="1"/>
  <c r="O162" i="1" s="1"/>
  <c r="K42" i="2" s="1"/>
  <c r="T165" i="1"/>
  <c r="O166" i="1" s="1"/>
  <c r="M42" i="2" s="1"/>
  <c r="T202" i="1"/>
  <c r="Q18" i="1"/>
  <c r="O18" i="1" s="1"/>
  <c r="I13" i="2" s="1"/>
  <c r="Q10" i="1"/>
  <c r="O10" i="1" s="1"/>
  <c r="E13" i="2" s="1"/>
  <c r="T23" i="1"/>
  <c r="O24" i="1" s="1"/>
  <c r="M12" i="2" s="1"/>
  <c r="T29" i="1"/>
  <c r="O28" i="1" s="1"/>
  <c r="O12" i="2" s="1"/>
  <c r="T63" i="1"/>
  <c r="O64" i="1" s="1"/>
  <c r="I22" i="2" s="1"/>
  <c r="Q207" i="1"/>
  <c r="T201" i="1" s="1"/>
  <c r="T21" i="1"/>
  <c r="Q74" i="1"/>
  <c r="O74" i="1" s="1"/>
  <c r="M23" i="2" s="1"/>
  <c r="T87" i="1"/>
  <c r="O88" i="1" s="1"/>
  <c r="U22" i="2" s="1"/>
  <c r="T100" i="1"/>
  <c r="O99" i="1" s="1"/>
  <c r="C32" i="2" s="1"/>
  <c r="Q113" i="1"/>
  <c r="O113" i="1" s="1"/>
  <c r="I33" i="2" s="1"/>
  <c r="T132" i="1"/>
  <c r="O131" i="1" s="1"/>
  <c r="S32" i="2" s="1"/>
  <c r="T171" i="1"/>
  <c r="T173" i="1"/>
  <c r="O174" i="1" s="1"/>
  <c r="Q42" i="2" s="1"/>
  <c r="Q137" i="1"/>
  <c r="T131" i="1" s="1"/>
  <c r="T133" i="1"/>
  <c r="O133" i="1" s="1"/>
  <c r="S33" i="2" s="1"/>
  <c r="Q152" i="1"/>
  <c r="O6" i="1"/>
  <c r="C13" i="2" s="1"/>
  <c r="O129" i="1"/>
  <c r="Q33" i="2" s="1"/>
  <c r="T123" i="1"/>
  <c r="V125" i="1" s="1"/>
  <c r="O86" i="1"/>
  <c r="S23" i="2" s="1"/>
  <c r="T7" i="1"/>
  <c r="Q34" i="1"/>
  <c r="T30" i="1"/>
  <c r="T55" i="1"/>
  <c r="O62" i="1"/>
  <c r="G23" i="2" s="1"/>
  <c r="Q43" i="1"/>
  <c r="T39" i="1"/>
  <c r="T37" i="1"/>
  <c r="T71" i="1"/>
  <c r="T69" i="1"/>
  <c r="Q90" i="1"/>
  <c r="T110" i="1"/>
  <c r="T108" i="1"/>
  <c r="T15" i="1"/>
  <c r="T13" i="1"/>
  <c r="O117" i="1"/>
  <c r="K33" i="2" s="1"/>
  <c r="O125" i="1"/>
  <c r="O33" i="2" s="1"/>
  <c r="O146" i="1"/>
  <c r="C42" i="2" s="1"/>
  <c r="O172" i="1"/>
  <c r="O43" i="2" s="1"/>
  <c r="O195" i="1"/>
  <c r="C53" i="2" s="1"/>
  <c r="T212" i="1"/>
  <c r="T194" i="1"/>
  <c r="T196" i="1"/>
  <c r="O211" i="1"/>
  <c r="K53" i="2" s="1"/>
  <c r="Q82" i="1"/>
  <c r="T126" i="1"/>
  <c r="T124" i="1"/>
  <c r="Q66" i="1"/>
  <c r="Q184" i="1"/>
  <c r="T181" i="1"/>
  <c r="T179" i="1"/>
  <c r="T157" i="1"/>
  <c r="T155" i="1"/>
  <c r="Q215" i="1"/>
  <c r="T228" i="1"/>
  <c r="T226" i="1"/>
  <c r="T102" i="1"/>
  <c r="Q160" i="1"/>
  <c r="Q223" i="1"/>
  <c r="T220" i="1"/>
  <c r="T218" i="1"/>
  <c r="Q231" i="1"/>
  <c r="T149" i="1"/>
  <c r="T99" i="1" l="1"/>
  <c r="V101" i="1" s="1"/>
  <c r="T162" i="1"/>
  <c r="V164" i="1" s="1"/>
  <c r="T115" i="1"/>
  <c r="V117" i="1" s="1"/>
  <c r="T107" i="1"/>
  <c r="V109" i="1" s="1"/>
  <c r="O137" i="1"/>
  <c r="U33" i="2" s="1"/>
  <c r="T20" i="1"/>
  <c r="V22" i="1" s="1"/>
  <c r="T68" i="1"/>
  <c r="V70" i="1" s="1"/>
  <c r="V204" i="1"/>
  <c r="T193" i="1"/>
  <c r="V195" i="1" s="1"/>
  <c r="O207" i="1"/>
  <c r="I53" i="2" s="1"/>
  <c r="V203" i="1"/>
  <c r="T4" i="1"/>
  <c r="V6" i="1" s="1"/>
  <c r="V53" i="1"/>
  <c r="V54" i="1"/>
  <c r="O58" i="1"/>
  <c r="E23" i="2" s="1"/>
  <c r="T170" i="1"/>
  <c r="V172" i="1" s="1"/>
  <c r="V132" i="1"/>
  <c r="T12" i="1"/>
  <c r="V14" i="1" s="1"/>
  <c r="V134" i="1"/>
  <c r="O170" i="1"/>
  <c r="O42" i="2" s="1"/>
  <c r="O20" i="1"/>
  <c r="K12" i="2" s="1"/>
  <c r="V202" i="1"/>
  <c r="O201" i="1"/>
  <c r="G52" i="2" s="1"/>
  <c r="V133" i="1"/>
  <c r="O152" i="1"/>
  <c r="E43" i="2" s="1"/>
  <c r="T146" i="1"/>
  <c r="T209" i="1"/>
  <c r="V212" i="1" s="1"/>
  <c r="O215" i="1"/>
  <c r="M53" i="2" s="1"/>
  <c r="O154" i="1"/>
  <c r="G42" i="2" s="1"/>
  <c r="O178" i="1"/>
  <c r="S42" i="2" s="1"/>
  <c r="T76" i="1"/>
  <c r="O82" i="1"/>
  <c r="Q23" i="2" s="1"/>
  <c r="O197" i="1"/>
  <c r="E52" i="2" s="1"/>
  <c r="O16" i="1"/>
  <c r="I12" i="2" s="1"/>
  <c r="O107" i="1"/>
  <c r="G32" i="2" s="1"/>
  <c r="O68" i="1"/>
  <c r="K22" i="2" s="1"/>
  <c r="V55" i="1"/>
  <c r="O56" i="1"/>
  <c r="E22" i="2" s="1"/>
  <c r="O30" i="1"/>
  <c r="O158" i="1"/>
  <c r="I42" i="2" s="1"/>
  <c r="O193" i="1"/>
  <c r="C52" i="2" s="1"/>
  <c r="O111" i="1"/>
  <c r="I32" i="2" s="1"/>
  <c r="O72" i="1"/>
  <c r="M22" i="2" s="1"/>
  <c r="O43" i="1"/>
  <c r="U13" i="2" s="1"/>
  <c r="T36" i="1"/>
  <c r="V38" i="1" s="1"/>
  <c r="O34" i="1"/>
  <c r="Q13" i="2" s="1"/>
  <c r="T28" i="1"/>
  <c r="V30" i="1" s="1"/>
  <c r="O221" i="1"/>
  <c r="Q52" i="2" s="1"/>
  <c r="V124" i="1"/>
  <c r="O123" i="1"/>
  <c r="O32" i="2" s="1"/>
  <c r="O213" i="1"/>
  <c r="M52" i="2" s="1"/>
  <c r="O8" i="1"/>
  <c r="E12" i="2" s="1"/>
  <c r="O150" i="1"/>
  <c r="E42" i="2" s="1"/>
  <c r="O90" i="1"/>
  <c r="U23" i="2" s="1"/>
  <c r="T84" i="1"/>
  <c r="O40" i="1"/>
  <c r="U12" i="2" s="1"/>
  <c r="O217" i="1"/>
  <c r="O52" i="2" s="1"/>
  <c r="O225" i="1"/>
  <c r="S52" i="2" s="1"/>
  <c r="O182" i="1"/>
  <c r="U42" i="2" s="1"/>
  <c r="O160" i="1"/>
  <c r="I43" i="2" s="1"/>
  <c r="T154" i="1"/>
  <c r="V156" i="1" s="1"/>
  <c r="O229" i="1"/>
  <c r="U52" i="2" s="1"/>
  <c r="O184" i="1"/>
  <c r="U43" i="2" s="1"/>
  <c r="T178" i="1"/>
  <c r="V180" i="1" s="1"/>
  <c r="O66" i="1"/>
  <c r="I23" i="2" s="1"/>
  <c r="T60" i="1"/>
  <c r="O231" i="1"/>
  <c r="U53" i="2" s="1"/>
  <c r="T225" i="1"/>
  <c r="V227" i="1" s="1"/>
  <c r="O223" i="1"/>
  <c r="Q53" i="2" s="1"/>
  <c r="T217" i="1"/>
  <c r="V219" i="1" s="1"/>
  <c r="O103" i="1"/>
  <c r="E32" i="2" s="1"/>
  <c r="O127" i="1"/>
  <c r="Q32" i="2" s="1"/>
  <c r="V126" i="1"/>
  <c r="O12" i="1"/>
  <c r="G12" i="2" s="1"/>
  <c r="O36" i="1"/>
  <c r="S12" i="2" s="1"/>
  <c r="V100" i="1" l="1"/>
  <c r="V103" i="1" s="1"/>
  <c r="V102" i="1"/>
  <c r="V118" i="1"/>
  <c r="V116" i="1"/>
  <c r="V119" i="1" s="1"/>
  <c r="V23" i="1"/>
  <c r="V194" i="1"/>
  <c r="V21" i="1"/>
  <c r="V165" i="1"/>
  <c r="V163" i="1"/>
  <c r="V110" i="1"/>
  <c r="V108" i="1"/>
  <c r="V71" i="1"/>
  <c r="V69" i="1"/>
  <c r="V7" i="1"/>
  <c r="V5" i="1"/>
  <c r="V56" i="1"/>
  <c r="V196" i="1"/>
  <c r="V205" i="1"/>
  <c r="V155" i="1"/>
  <c r="V171" i="1"/>
  <c r="V15" i="1"/>
  <c r="V13" i="1"/>
  <c r="V37" i="1"/>
  <c r="V39" i="1"/>
  <c r="V173" i="1"/>
  <c r="V135" i="1"/>
  <c r="V220" i="1"/>
  <c r="V218" i="1"/>
  <c r="V221" i="1" s="1"/>
  <c r="V148" i="1"/>
  <c r="V147" i="1"/>
  <c r="V149" i="1"/>
  <c r="V228" i="1"/>
  <c r="V181" i="1"/>
  <c r="V85" i="1"/>
  <c r="V86" i="1"/>
  <c r="V87" i="1"/>
  <c r="V127" i="1"/>
  <c r="V29" i="1"/>
  <c r="V31" i="1"/>
  <c r="V77" i="1"/>
  <c r="V79" i="1"/>
  <c r="V78" i="1"/>
  <c r="V179" i="1"/>
  <c r="V210" i="1"/>
  <c r="V211" i="1"/>
  <c r="V61" i="1"/>
  <c r="V62" i="1"/>
  <c r="V63" i="1"/>
  <c r="V226" i="1"/>
  <c r="V229" i="1" s="1"/>
  <c r="V157" i="1"/>
  <c r="V197" i="1" l="1"/>
  <c r="V111" i="1"/>
  <c r="V24" i="1"/>
  <c r="V8" i="1"/>
  <c r="V166" i="1"/>
  <c r="V72" i="1"/>
  <c r="V158" i="1"/>
  <c r="V174" i="1"/>
  <c r="V213" i="1"/>
  <c r="V16" i="1"/>
  <c r="V40" i="1"/>
  <c r="V80" i="1"/>
  <c r="V88" i="1"/>
  <c r="V150" i="1"/>
  <c r="V182" i="1"/>
  <c r="V64" i="1"/>
  <c r="V32" i="1"/>
</calcChain>
</file>

<file path=xl/sharedStrings.xml><?xml version="1.0" encoding="utf-8"?>
<sst xmlns="http://schemas.openxmlformats.org/spreadsheetml/2006/main" count="1696" uniqueCount="667">
  <si>
    <r>
      <rPr>
        <sz val="16"/>
        <rFont val="新細明體"/>
        <family val="1"/>
        <charset val="136"/>
      </rPr>
      <t>11月份午餐食材明細+營養分析</t>
    </r>
    <r>
      <rPr>
        <sz val="12"/>
        <rFont val="新細明體"/>
        <family val="1"/>
        <charset val="136"/>
      </rPr>
      <t xml:space="preserve">                   貝佳【第10週】</t>
    </r>
    <phoneticPr fontId="3" type="noConversion"/>
  </si>
  <si>
    <t>日期</t>
    <phoneticPr fontId="3" type="noConversion"/>
  </si>
  <si>
    <t>主菜</t>
    <phoneticPr fontId="3" type="noConversion"/>
  </si>
  <si>
    <t>重量(g)</t>
    <phoneticPr fontId="3" type="noConversion"/>
  </si>
  <si>
    <t>副菜</t>
    <phoneticPr fontId="3" type="noConversion"/>
  </si>
  <si>
    <t>副菜</t>
    <phoneticPr fontId="3" type="noConversion"/>
  </si>
  <si>
    <t>重量(g)</t>
    <phoneticPr fontId="3" type="noConversion"/>
  </si>
  <si>
    <t>青菜</t>
    <phoneticPr fontId="3" type="noConversion"/>
  </si>
  <si>
    <t>湯</t>
    <phoneticPr fontId="3" type="noConversion"/>
  </si>
  <si>
    <t>重量(g)</t>
    <phoneticPr fontId="3" type="noConversion"/>
  </si>
  <si>
    <t>主食</t>
    <phoneticPr fontId="3" type="noConversion"/>
  </si>
  <si>
    <t>營養分析</t>
    <phoneticPr fontId="3" type="noConversion"/>
  </si>
  <si>
    <t>季節蔬菜</t>
    <phoneticPr fontId="3" type="noConversion"/>
  </si>
  <si>
    <t>枸杞黃瓜湯</t>
    <phoneticPr fontId="3" type="noConversion"/>
  </si>
  <si>
    <t>胚米飯</t>
    <phoneticPr fontId="3" type="noConversion"/>
  </si>
  <si>
    <t>全穀雜糧類</t>
  </si>
  <si>
    <t>份</t>
    <phoneticPr fontId="3" type="noConversion"/>
  </si>
  <si>
    <t>熱量</t>
    <phoneticPr fontId="3" type="noConversion"/>
  </si>
  <si>
    <t>醣類g：</t>
    <phoneticPr fontId="3" type="noConversion"/>
  </si>
  <si>
    <t>食物六大類</t>
    <phoneticPr fontId="3" type="noConversion"/>
  </si>
  <si>
    <t>三大營養素</t>
    <phoneticPr fontId="3" type="noConversion"/>
  </si>
  <si>
    <t>小白菜</t>
    <phoneticPr fontId="3" type="noConversion"/>
  </si>
  <si>
    <t>黃瓜</t>
    <phoneticPr fontId="3" type="noConversion"/>
  </si>
  <si>
    <t>白米</t>
    <phoneticPr fontId="3" type="noConversion"/>
  </si>
  <si>
    <t>豆魚蛋肉類</t>
  </si>
  <si>
    <t>份</t>
    <phoneticPr fontId="3" type="noConversion"/>
  </si>
  <si>
    <t>醣類</t>
    <phoneticPr fontId="3" type="noConversion"/>
  </si>
  <si>
    <t>g</t>
    <phoneticPr fontId="3" type="noConversion"/>
  </si>
  <si>
    <t>份</t>
    <phoneticPr fontId="3" type="noConversion"/>
  </si>
  <si>
    <t>熱量</t>
    <phoneticPr fontId="3" type="noConversion"/>
  </si>
  <si>
    <t>Kcal</t>
    <phoneticPr fontId="3" type="noConversion"/>
  </si>
  <si>
    <t>%</t>
    <phoneticPr fontId="3" type="noConversion"/>
  </si>
  <si>
    <t>洋芋</t>
    <phoneticPr fontId="3" type="noConversion"/>
  </si>
  <si>
    <t>紅蘿蔔</t>
    <phoneticPr fontId="3" type="noConversion"/>
  </si>
  <si>
    <t>胚米</t>
    <phoneticPr fontId="3" type="noConversion"/>
  </si>
  <si>
    <t>脂肪g：</t>
    <phoneticPr fontId="3" type="noConversion"/>
  </si>
  <si>
    <t>蔬菜類</t>
    <phoneticPr fontId="3" type="noConversion"/>
  </si>
  <si>
    <t>份</t>
    <phoneticPr fontId="3" type="noConversion"/>
  </si>
  <si>
    <t>脂質</t>
    <phoneticPr fontId="3" type="noConversion"/>
  </si>
  <si>
    <t>份</t>
    <phoneticPr fontId="3" type="noConversion"/>
  </si>
  <si>
    <t>g</t>
    <phoneticPr fontId="3" type="noConversion"/>
  </si>
  <si>
    <t>洋蔥</t>
    <phoneticPr fontId="3" type="noConversion"/>
  </si>
  <si>
    <t>枸杞</t>
    <phoneticPr fontId="3" type="noConversion"/>
  </si>
  <si>
    <t>份</t>
    <phoneticPr fontId="3" type="noConversion"/>
  </si>
  <si>
    <t>蔬菜類</t>
    <phoneticPr fontId="3" type="noConversion"/>
  </si>
  <si>
    <t>青蔥</t>
    <phoneticPr fontId="3" type="noConversion"/>
  </si>
  <si>
    <t>蛋白質g：</t>
    <phoneticPr fontId="3" type="noConversion"/>
  </si>
  <si>
    <t>乳品類</t>
  </si>
  <si>
    <t>蛋白質g：</t>
    <phoneticPr fontId="3" type="noConversion"/>
  </si>
  <si>
    <t>水果類</t>
    <phoneticPr fontId="3" type="noConversion"/>
  </si>
  <si>
    <t>蛋白質</t>
    <phoneticPr fontId="3" type="noConversion"/>
  </si>
  <si>
    <t>洋蔥</t>
    <phoneticPr fontId="3" type="noConversion"/>
  </si>
  <si>
    <t>星期一</t>
    <phoneticPr fontId="3" type="noConversion"/>
  </si>
  <si>
    <t>油脂與堅果種子類</t>
    <phoneticPr fontId="3" type="noConversion"/>
  </si>
  <si>
    <t>食材總熱量</t>
    <phoneticPr fontId="3" type="noConversion"/>
  </si>
  <si>
    <t>Kcal</t>
    <phoneticPr fontId="3" type="noConversion"/>
  </si>
  <si>
    <t>青豆仁</t>
    <phoneticPr fontId="3" type="noConversion"/>
  </si>
  <si>
    <t>煮</t>
    <phoneticPr fontId="3" type="noConversion"/>
  </si>
  <si>
    <t>燙</t>
    <phoneticPr fontId="3" type="noConversion"/>
  </si>
  <si>
    <t>煮</t>
    <phoneticPr fontId="3" type="noConversion"/>
  </si>
  <si>
    <t>蒸</t>
    <phoneticPr fontId="3" type="noConversion"/>
  </si>
  <si>
    <t>Kcal</t>
    <phoneticPr fontId="3" type="noConversion"/>
  </si>
  <si>
    <t>醬燒里肌</t>
    <phoneticPr fontId="3" type="noConversion"/>
  </si>
  <si>
    <t>蕃茄炒蛋</t>
    <phoneticPr fontId="3" type="noConversion"/>
  </si>
  <si>
    <t>家常粉絲</t>
    <phoneticPr fontId="3" type="noConversion"/>
  </si>
  <si>
    <t>薑絲紫菜湯</t>
    <phoneticPr fontId="3" type="noConversion"/>
  </si>
  <si>
    <t>燕麥飯</t>
    <phoneticPr fontId="3" type="noConversion"/>
  </si>
  <si>
    <t>醣類g：</t>
    <phoneticPr fontId="3" type="noConversion"/>
  </si>
  <si>
    <t>食物六大類</t>
    <phoneticPr fontId="3" type="noConversion"/>
  </si>
  <si>
    <t>食物六大類</t>
    <phoneticPr fontId="3" type="noConversion"/>
  </si>
  <si>
    <t>里肌排</t>
    <phoneticPr fontId="3" type="noConversion"/>
  </si>
  <si>
    <t>蛋液</t>
    <phoneticPr fontId="3" type="noConversion"/>
  </si>
  <si>
    <t>豆芽菜</t>
    <phoneticPr fontId="3" type="noConversion"/>
  </si>
  <si>
    <t>油菜</t>
    <phoneticPr fontId="3" type="noConversion"/>
  </si>
  <si>
    <t>白米</t>
    <phoneticPr fontId="3" type="noConversion"/>
  </si>
  <si>
    <t>%</t>
    <phoneticPr fontId="3" type="noConversion"/>
  </si>
  <si>
    <t>蕃茄</t>
    <phoneticPr fontId="3" type="noConversion"/>
  </si>
  <si>
    <t>薑絲</t>
    <phoneticPr fontId="3" type="noConversion"/>
  </si>
  <si>
    <t>燕麥</t>
    <phoneticPr fontId="3" type="noConversion"/>
  </si>
  <si>
    <t>脂肪g：</t>
    <phoneticPr fontId="3" type="noConversion"/>
  </si>
  <si>
    <t>醣類</t>
    <phoneticPr fontId="3" type="noConversion"/>
  </si>
  <si>
    <t>g</t>
    <phoneticPr fontId="3" type="noConversion"/>
  </si>
  <si>
    <t>木耳</t>
    <phoneticPr fontId="3" type="noConversion"/>
  </si>
  <si>
    <t>青蔥</t>
    <phoneticPr fontId="3" type="noConversion"/>
  </si>
  <si>
    <t>青蔥</t>
    <phoneticPr fontId="3" type="noConversion"/>
  </si>
  <si>
    <t>絞肉</t>
    <phoneticPr fontId="3" type="noConversion"/>
  </si>
  <si>
    <t>蔬菜類</t>
    <phoneticPr fontId="3" type="noConversion"/>
  </si>
  <si>
    <t>脂質</t>
    <phoneticPr fontId="3" type="noConversion"/>
  </si>
  <si>
    <t>水果類</t>
    <phoneticPr fontId="3" type="noConversion"/>
  </si>
  <si>
    <t>蛋白質</t>
    <phoneticPr fontId="3" type="noConversion"/>
  </si>
  <si>
    <t>星期二</t>
    <phoneticPr fontId="3" type="noConversion"/>
  </si>
  <si>
    <t>南瓜</t>
    <phoneticPr fontId="3" type="noConversion"/>
  </si>
  <si>
    <t>油脂與堅果種子類</t>
    <phoneticPr fontId="3" type="noConversion"/>
  </si>
  <si>
    <t>熱量kcal：</t>
    <phoneticPr fontId="3" type="noConversion"/>
  </si>
  <si>
    <t>燒</t>
    <phoneticPr fontId="3" type="noConversion"/>
  </si>
  <si>
    <t>炒</t>
    <phoneticPr fontId="3" type="noConversion"/>
  </si>
  <si>
    <t>燙</t>
    <phoneticPr fontId="3" type="noConversion"/>
  </si>
  <si>
    <t>食材總熱量</t>
    <phoneticPr fontId="3" type="noConversion"/>
  </si>
  <si>
    <t>海苔花枝丸</t>
    <phoneticPr fontId="3" type="noConversion"/>
  </si>
  <si>
    <t>日式味噌湯</t>
    <phoneticPr fontId="3" type="noConversion"/>
  </si>
  <si>
    <t>香Q白飯</t>
    <phoneticPr fontId="3" type="noConversion"/>
  </si>
  <si>
    <t>醣類g：</t>
    <phoneticPr fontId="3" type="noConversion"/>
  </si>
  <si>
    <t>花枝丸</t>
    <phoneticPr fontId="3" type="noConversion"/>
  </si>
  <si>
    <t>高麗菜</t>
    <phoneticPr fontId="3" type="noConversion"/>
  </si>
  <si>
    <t>鵝白菜</t>
    <phoneticPr fontId="3" type="noConversion"/>
  </si>
  <si>
    <t>海苔</t>
    <phoneticPr fontId="3" type="noConversion"/>
  </si>
  <si>
    <t>木耳</t>
    <phoneticPr fontId="3" type="noConversion"/>
  </si>
  <si>
    <t>洋蔥</t>
    <phoneticPr fontId="3" type="noConversion"/>
  </si>
  <si>
    <t>白蘿蔔</t>
    <phoneticPr fontId="3" type="noConversion"/>
  </si>
  <si>
    <t>星期三</t>
    <phoneticPr fontId="3" type="noConversion"/>
  </si>
  <si>
    <t>季節蔬菜</t>
    <phoneticPr fontId="3" type="noConversion"/>
  </si>
  <si>
    <t>古早味豬血湯</t>
    <phoneticPr fontId="3" type="noConversion"/>
  </si>
  <si>
    <t>三大營養素</t>
    <phoneticPr fontId="3" type="noConversion"/>
  </si>
  <si>
    <t>翅小腿</t>
    <phoneticPr fontId="3" type="noConversion"/>
  </si>
  <si>
    <t>青江菜</t>
    <phoneticPr fontId="3" type="noConversion"/>
  </si>
  <si>
    <t>豬血</t>
    <phoneticPr fontId="3" type="noConversion"/>
  </si>
  <si>
    <t>竹筍</t>
    <phoneticPr fontId="3" type="noConversion"/>
  </si>
  <si>
    <t>四季豆</t>
    <phoneticPr fontId="3" type="noConversion"/>
  </si>
  <si>
    <t>酸菜</t>
    <phoneticPr fontId="3" type="noConversion"/>
  </si>
  <si>
    <t>星期四</t>
    <phoneticPr fontId="3" type="noConversion"/>
  </si>
  <si>
    <t>燒</t>
    <phoneticPr fontId="3" type="noConversion"/>
  </si>
  <si>
    <t>小黃瓜</t>
    <phoneticPr fontId="3" type="noConversion"/>
  </si>
  <si>
    <t>杏鮑菇</t>
    <phoneticPr fontId="3" type="noConversion"/>
  </si>
  <si>
    <t>排骨</t>
    <phoneticPr fontId="3" type="noConversion"/>
  </si>
  <si>
    <t>星期五</t>
    <phoneticPr fontId="3" type="noConversion"/>
  </si>
  <si>
    <t>熱量kcal：</t>
    <phoneticPr fontId="3" type="noConversion"/>
  </si>
  <si>
    <t>份</t>
    <phoneticPr fontId="3" type="noConversion"/>
  </si>
  <si>
    <t>油脂與堅果種子類</t>
    <phoneticPr fontId="3" type="noConversion"/>
  </si>
  <si>
    <t>滷</t>
    <phoneticPr fontId="3" type="noConversion"/>
  </si>
  <si>
    <t>燙</t>
    <phoneticPr fontId="3" type="noConversion"/>
  </si>
  <si>
    <t>蒸</t>
    <phoneticPr fontId="3" type="noConversion"/>
  </si>
  <si>
    <t>食材總熱量</t>
    <phoneticPr fontId="3" type="noConversion"/>
  </si>
  <si>
    <t>Kcal</t>
    <phoneticPr fontId="3" type="noConversion"/>
  </si>
  <si>
    <r>
      <rPr>
        <sz val="16"/>
        <rFont val="新細明體"/>
        <family val="1"/>
        <charset val="136"/>
      </rPr>
      <t>11月份午餐食材明細+營養分析</t>
    </r>
    <r>
      <rPr>
        <sz val="12"/>
        <rFont val="新細明體"/>
        <family val="1"/>
        <charset val="136"/>
      </rPr>
      <t xml:space="preserve">                   貝佳【第11週】</t>
    </r>
    <phoneticPr fontId="3" type="noConversion"/>
  </si>
  <si>
    <t>日期</t>
    <phoneticPr fontId="3" type="noConversion"/>
  </si>
  <si>
    <t>主菜</t>
    <phoneticPr fontId="3" type="noConversion"/>
  </si>
  <si>
    <t>重量(g)</t>
    <phoneticPr fontId="3" type="noConversion"/>
  </si>
  <si>
    <t>重量(g)</t>
    <phoneticPr fontId="3" type="noConversion"/>
  </si>
  <si>
    <t>副菜</t>
    <phoneticPr fontId="3" type="noConversion"/>
  </si>
  <si>
    <t>青菜</t>
    <phoneticPr fontId="3" type="noConversion"/>
  </si>
  <si>
    <t>湯</t>
    <phoneticPr fontId="3" type="noConversion"/>
  </si>
  <si>
    <t>季節蔬菜</t>
    <phoneticPr fontId="3" type="noConversion"/>
  </si>
  <si>
    <t>酸辣湯</t>
    <phoneticPr fontId="3" type="noConversion"/>
  </si>
  <si>
    <t>%</t>
    <phoneticPr fontId="3" type="noConversion"/>
  </si>
  <si>
    <t>醣類g：</t>
    <phoneticPr fontId="3" type="noConversion"/>
  </si>
  <si>
    <t>食物六大類</t>
    <phoneticPr fontId="3" type="noConversion"/>
  </si>
  <si>
    <t>三大營養素</t>
    <phoneticPr fontId="3" type="noConversion"/>
  </si>
  <si>
    <t>青江菜</t>
    <phoneticPr fontId="3" type="noConversion"/>
  </si>
  <si>
    <t>豆腐</t>
    <phoneticPr fontId="3" type="noConversion"/>
  </si>
  <si>
    <t>白米</t>
    <phoneticPr fontId="3" type="noConversion"/>
  </si>
  <si>
    <t>份</t>
    <phoneticPr fontId="3" type="noConversion"/>
  </si>
  <si>
    <t>熱量</t>
    <phoneticPr fontId="3" type="noConversion"/>
  </si>
  <si>
    <t>豆芽菜</t>
    <phoneticPr fontId="3" type="noConversion"/>
  </si>
  <si>
    <t>竹筍</t>
    <phoneticPr fontId="3" type="noConversion"/>
  </si>
  <si>
    <t>胚米</t>
    <phoneticPr fontId="3" type="noConversion"/>
  </si>
  <si>
    <t>g</t>
    <phoneticPr fontId="3" type="noConversion"/>
  </si>
  <si>
    <t>g</t>
    <phoneticPr fontId="3" type="noConversion"/>
  </si>
  <si>
    <t>紅蘿蔔</t>
    <phoneticPr fontId="3" type="noConversion"/>
  </si>
  <si>
    <t>蛋液</t>
    <phoneticPr fontId="3" type="noConversion"/>
  </si>
  <si>
    <t>蛋白質</t>
    <phoneticPr fontId="3" type="noConversion"/>
  </si>
  <si>
    <t>星期一</t>
    <phoneticPr fontId="3" type="noConversion"/>
  </si>
  <si>
    <t>熱量kcal：</t>
    <phoneticPr fontId="3" type="noConversion"/>
  </si>
  <si>
    <t>油脂與堅果種子類</t>
    <phoneticPr fontId="3" type="noConversion"/>
  </si>
  <si>
    <t>南洋咖哩雞</t>
    <phoneticPr fontId="3" type="noConversion"/>
  </si>
  <si>
    <t>肉燥福州丸</t>
    <phoneticPr fontId="3" type="noConversion"/>
  </si>
  <si>
    <t>芝麻海根</t>
    <phoneticPr fontId="3" type="noConversion"/>
  </si>
  <si>
    <t>雞丁</t>
    <phoneticPr fontId="3" type="noConversion"/>
  </si>
  <si>
    <t>海帶根</t>
    <phoneticPr fontId="3" type="noConversion"/>
  </si>
  <si>
    <t>%</t>
    <phoneticPr fontId="3" type="noConversion"/>
  </si>
  <si>
    <t>脂肪g：</t>
    <phoneticPr fontId="3" type="noConversion"/>
  </si>
  <si>
    <t>香菇</t>
    <phoneticPr fontId="3" type="noConversion"/>
  </si>
  <si>
    <t>芝麻</t>
    <phoneticPr fontId="3" type="noConversion"/>
  </si>
  <si>
    <t>星期二</t>
    <phoneticPr fontId="3" type="noConversion"/>
  </si>
  <si>
    <t>油脂與堅果種子類</t>
    <phoneticPr fontId="3" type="noConversion"/>
  </si>
  <si>
    <t>煮</t>
    <phoneticPr fontId="3" type="noConversion"/>
  </si>
  <si>
    <t>燙</t>
    <phoneticPr fontId="3" type="noConversion"/>
  </si>
  <si>
    <t>煮</t>
    <phoneticPr fontId="3" type="noConversion"/>
  </si>
  <si>
    <t>Kcal</t>
    <phoneticPr fontId="3" type="noConversion"/>
  </si>
  <si>
    <t>台北蘿蔔燒</t>
    <phoneticPr fontId="3" type="noConversion"/>
  </si>
  <si>
    <t>食物六大類</t>
    <phoneticPr fontId="3" type="noConversion"/>
  </si>
  <si>
    <t>食物六大類</t>
    <phoneticPr fontId="3" type="noConversion"/>
  </si>
  <si>
    <t>三大營養素</t>
    <phoneticPr fontId="3" type="noConversion"/>
  </si>
  <si>
    <t>小白菜</t>
    <phoneticPr fontId="3" type="noConversion"/>
  </si>
  <si>
    <t>熱量</t>
    <phoneticPr fontId="3" type="noConversion"/>
  </si>
  <si>
    <t>玉米段</t>
    <phoneticPr fontId="3" type="noConversion"/>
  </si>
  <si>
    <t>脂肪g：</t>
    <phoneticPr fontId="3" type="noConversion"/>
  </si>
  <si>
    <t>醣類</t>
    <phoneticPr fontId="3" type="noConversion"/>
  </si>
  <si>
    <t>g</t>
    <phoneticPr fontId="3" type="noConversion"/>
  </si>
  <si>
    <t>蔬菜類</t>
    <phoneticPr fontId="3" type="noConversion"/>
  </si>
  <si>
    <t>蔬菜類</t>
    <phoneticPr fontId="3" type="noConversion"/>
  </si>
  <si>
    <t>鳥蛋</t>
    <phoneticPr fontId="3" type="noConversion"/>
  </si>
  <si>
    <t>水果類</t>
    <phoneticPr fontId="3" type="noConversion"/>
  </si>
  <si>
    <t>蛋白質g：</t>
    <phoneticPr fontId="3" type="noConversion"/>
  </si>
  <si>
    <t>海帶結</t>
    <phoneticPr fontId="3" type="noConversion"/>
  </si>
  <si>
    <t>份</t>
    <phoneticPr fontId="3" type="noConversion"/>
  </si>
  <si>
    <t>燒</t>
    <phoneticPr fontId="3" type="noConversion"/>
  </si>
  <si>
    <t>食材總熱量</t>
    <phoneticPr fontId="3" type="noConversion"/>
  </si>
  <si>
    <t>敏豆混炒</t>
    <phoneticPr fontId="3" type="noConversion"/>
  </si>
  <si>
    <t>三大營養素</t>
    <phoneticPr fontId="3" type="noConversion"/>
  </si>
  <si>
    <t>四季豆</t>
    <phoneticPr fontId="3" type="noConversion"/>
  </si>
  <si>
    <t>油菜</t>
    <phoneticPr fontId="3" type="noConversion"/>
  </si>
  <si>
    <t>豆干</t>
    <phoneticPr fontId="3" type="noConversion"/>
  </si>
  <si>
    <t>液蛋</t>
    <phoneticPr fontId="3" type="noConversion"/>
  </si>
  <si>
    <t>洋蔥</t>
    <phoneticPr fontId="3" type="noConversion"/>
  </si>
  <si>
    <t>壽喜燒肉</t>
    <phoneticPr fontId="3" type="noConversion"/>
  </si>
  <si>
    <t>三色滷蛋</t>
    <phoneticPr fontId="3" type="noConversion"/>
  </si>
  <si>
    <t>季節蔬菜</t>
    <phoneticPr fontId="3" type="noConversion"/>
  </si>
  <si>
    <t>豬肉片</t>
    <phoneticPr fontId="3" type="noConversion"/>
  </si>
  <si>
    <t>豆芽菜</t>
    <phoneticPr fontId="3" type="noConversion"/>
  </si>
  <si>
    <t>白煮蛋</t>
    <phoneticPr fontId="3" type="noConversion"/>
  </si>
  <si>
    <t>麵疙瘩</t>
    <phoneticPr fontId="3" type="noConversion"/>
  </si>
  <si>
    <t>薑片</t>
    <phoneticPr fontId="3" type="noConversion"/>
  </si>
  <si>
    <t>脂質</t>
    <phoneticPr fontId="3" type="noConversion"/>
  </si>
  <si>
    <t>青蔥</t>
    <phoneticPr fontId="3" type="noConversion"/>
  </si>
  <si>
    <t>木耳絲</t>
    <phoneticPr fontId="3" type="noConversion"/>
  </si>
  <si>
    <t>青豆仁</t>
    <phoneticPr fontId="3" type="noConversion"/>
  </si>
  <si>
    <t>蛋白質</t>
    <phoneticPr fontId="3" type="noConversion"/>
  </si>
  <si>
    <t>星期五</t>
    <phoneticPr fontId="3" type="noConversion"/>
  </si>
  <si>
    <t>芝麻</t>
    <phoneticPr fontId="3" type="noConversion"/>
  </si>
  <si>
    <t>熱量kcal：</t>
    <phoneticPr fontId="3" type="noConversion"/>
  </si>
  <si>
    <t>油脂與堅果種子類</t>
    <phoneticPr fontId="3" type="noConversion"/>
  </si>
  <si>
    <t>炒</t>
    <phoneticPr fontId="3" type="noConversion"/>
  </si>
  <si>
    <t>燙</t>
    <phoneticPr fontId="3" type="noConversion"/>
  </si>
  <si>
    <r>
      <rPr>
        <sz val="16"/>
        <rFont val="新細明體"/>
        <family val="1"/>
        <charset val="136"/>
      </rPr>
      <t>11月份午餐食材明細+營養分析</t>
    </r>
    <r>
      <rPr>
        <sz val="12"/>
        <rFont val="新細明體"/>
        <family val="1"/>
        <charset val="136"/>
      </rPr>
      <t xml:space="preserve">                   貝佳【第12週】</t>
    </r>
    <phoneticPr fontId="3" type="noConversion"/>
  </si>
  <si>
    <t>日期</t>
    <phoneticPr fontId="3" type="noConversion"/>
  </si>
  <si>
    <t>主菜</t>
    <phoneticPr fontId="3" type="noConversion"/>
  </si>
  <si>
    <t>副菜</t>
    <phoneticPr fontId="3" type="noConversion"/>
  </si>
  <si>
    <t>重量(g)</t>
    <phoneticPr fontId="3" type="noConversion"/>
  </si>
  <si>
    <t>湯</t>
    <phoneticPr fontId="3" type="noConversion"/>
  </si>
  <si>
    <t>主食</t>
    <phoneticPr fontId="3" type="noConversion"/>
  </si>
  <si>
    <t>營養分析</t>
    <phoneticPr fontId="3" type="noConversion"/>
  </si>
  <si>
    <t>胚米飯</t>
    <phoneticPr fontId="3" type="noConversion"/>
  </si>
  <si>
    <t>%</t>
    <phoneticPr fontId="3" type="noConversion"/>
  </si>
  <si>
    <t>油菜</t>
    <phoneticPr fontId="3" type="noConversion"/>
  </si>
  <si>
    <t>板豆腐</t>
    <phoneticPr fontId="3" type="noConversion"/>
  </si>
  <si>
    <t>金針菇</t>
    <phoneticPr fontId="3" type="noConversion"/>
  </si>
  <si>
    <t>洋蔥</t>
    <phoneticPr fontId="3" type="noConversion"/>
  </si>
  <si>
    <t>紅蘿蔔</t>
    <phoneticPr fontId="3" type="noConversion"/>
  </si>
  <si>
    <t>脂質</t>
    <phoneticPr fontId="3" type="noConversion"/>
  </si>
  <si>
    <t>木耳</t>
    <phoneticPr fontId="3" type="noConversion"/>
  </si>
  <si>
    <t>星期一</t>
    <phoneticPr fontId="3" type="noConversion"/>
  </si>
  <si>
    <t>鵝白菜</t>
    <phoneticPr fontId="3" type="noConversion"/>
  </si>
  <si>
    <t>雞丁</t>
    <phoneticPr fontId="3" type="noConversion"/>
  </si>
  <si>
    <t>白蘿蔔</t>
    <phoneticPr fontId="3" type="noConversion"/>
  </si>
  <si>
    <t>螞蟻上樹</t>
    <phoneticPr fontId="3" type="noConversion"/>
  </si>
  <si>
    <t>土瓶蒸湯</t>
    <phoneticPr fontId="3" type="noConversion"/>
  </si>
  <si>
    <t>洋芋</t>
    <phoneticPr fontId="3" type="noConversion"/>
  </si>
  <si>
    <t>份</t>
    <phoneticPr fontId="3" type="noConversion"/>
  </si>
  <si>
    <t>鳳梨雞丁</t>
    <phoneticPr fontId="3" type="noConversion"/>
  </si>
  <si>
    <t>筍香肉燥</t>
    <phoneticPr fontId="3" type="noConversion"/>
  </si>
  <si>
    <t>青木瓜排骨湯</t>
    <phoneticPr fontId="3" type="noConversion"/>
  </si>
  <si>
    <t>醣類g：</t>
    <phoneticPr fontId="3" type="noConversion"/>
  </si>
  <si>
    <t>青木瓜</t>
    <phoneticPr fontId="3" type="noConversion"/>
  </si>
  <si>
    <t>筍丁</t>
    <phoneticPr fontId="3" type="noConversion"/>
  </si>
  <si>
    <t>枸杞</t>
    <phoneticPr fontId="3" type="noConversion"/>
  </si>
  <si>
    <t>鳳梨</t>
    <phoneticPr fontId="3" type="noConversion"/>
  </si>
  <si>
    <t>絞肉</t>
    <phoneticPr fontId="3" type="noConversion"/>
  </si>
  <si>
    <t>排骨</t>
    <phoneticPr fontId="3" type="noConversion"/>
  </si>
  <si>
    <t>蛋白質</t>
    <phoneticPr fontId="3" type="noConversion"/>
  </si>
  <si>
    <r>
      <rPr>
        <sz val="16"/>
        <rFont val="新細明體"/>
        <family val="1"/>
        <charset val="136"/>
      </rPr>
      <t>11月份午餐食材明細+營養分析</t>
    </r>
    <r>
      <rPr>
        <sz val="12"/>
        <rFont val="新細明體"/>
        <family val="1"/>
        <charset val="136"/>
      </rPr>
      <t xml:space="preserve">                   貝佳【第13週】</t>
    </r>
    <phoneticPr fontId="3" type="noConversion"/>
  </si>
  <si>
    <t>日期</t>
    <phoneticPr fontId="3" type="noConversion"/>
  </si>
  <si>
    <t>主菜</t>
    <phoneticPr fontId="3" type="noConversion"/>
  </si>
  <si>
    <t>副菜</t>
    <phoneticPr fontId="3" type="noConversion"/>
  </si>
  <si>
    <t>蒜香雞腿</t>
    <phoneticPr fontId="3" type="noConversion"/>
  </si>
  <si>
    <t>芙蓉炒蛋</t>
    <phoneticPr fontId="3" type="noConversion"/>
  </si>
  <si>
    <t>肉末海根</t>
    <phoneticPr fontId="3" type="noConversion"/>
  </si>
  <si>
    <t>竹筍排骨湯</t>
    <phoneticPr fontId="3" type="noConversion"/>
  </si>
  <si>
    <t>燕麥飯</t>
    <phoneticPr fontId="3" type="noConversion"/>
  </si>
  <si>
    <t>雞腿</t>
    <phoneticPr fontId="3" type="noConversion"/>
  </si>
  <si>
    <t>海根</t>
    <phoneticPr fontId="3" type="noConversion"/>
  </si>
  <si>
    <t>竹筍</t>
    <phoneticPr fontId="3" type="noConversion"/>
  </si>
  <si>
    <t>豬肉</t>
    <phoneticPr fontId="3" type="noConversion"/>
  </si>
  <si>
    <t>香菇</t>
    <phoneticPr fontId="3" type="noConversion"/>
  </si>
  <si>
    <t>滷</t>
    <phoneticPr fontId="3" type="noConversion"/>
  </si>
  <si>
    <t>小瓜炒甜條</t>
    <phoneticPr fontId="3" type="noConversion"/>
  </si>
  <si>
    <t>甜不辣</t>
    <phoneticPr fontId="3" type="noConversion"/>
  </si>
  <si>
    <t>星期三</t>
    <phoneticPr fontId="3" type="noConversion"/>
  </si>
  <si>
    <t>炒</t>
  </si>
  <si>
    <t>高麗菜</t>
    <phoneticPr fontId="3" type="noConversion"/>
  </si>
  <si>
    <t>青江菜</t>
    <phoneticPr fontId="3" type="noConversion"/>
  </si>
  <si>
    <t>肉片</t>
    <phoneticPr fontId="3" type="noConversion"/>
  </si>
  <si>
    <t>星期四</t>
    <phoneticPr fontId="3" type="noConversion"/>
  </si>
  <si>
    <t>薑燒肉片</t>
    <phoneticPr fontId="3" type="noConversion"/>
  </si>
  <si>
    <t>蜜汁翅腿</t>
    <phoneticPr fontId="3" type="noConversion"/>
  </si>
  <si>
    <t>針菇鮮瓜</t>
    <phoneticPr fontId="3" type="noConversion"/>
  </si>
  <si>
    <t>豬肉片</t>
    <phoneticPr fontId="3" type="noConversion"/>
  </si>
  <si>
    <t>翅小腿</t>
    <phoneticPr fontId="3" type="noConversion"/>
  </si>
  <si>
    <t>黃瓜</t>
    <phoneticPr fontId="3" type="noConversion"/>
  </si>
  <si>
    <t>玉米粒</t>
    <phoneticPr fontId="3" type="noConversion"/>
  </si>
  <si>
    <t>薑片</t>
    <phoneticPr fontId="3" type="noConversion"/>
  </si>
  <si>
    <r>
      <rPr>
        <sz val="16"/>
        <rFont val="新細明體"/>
        <family val="1"/>
        <charset val="136"/>
      </rPr>
      <t>11月份午餐食材明細+營養分析</t>
    </r>
    <r>
      <rPr>
        <sz val="12"/>
        <rFont val="新細明體"/>
        <family val="1"/>
        <charset val="136"/>
      </rPr>
      <t xml:space="preserve">                   貝佳【第14週】</t>
    </r>
    <phoneticPr fontId="3" type="noConversion"/>
  </si>
  <si>
    <t>玉米濃湯</t>
    <phoneticPr fontId="3" type="noConversion"/>
  </si>
  <si>
    <t>脂肪g：</t>
    <phoneticPr fontId="3" type="noConversion"/>
  </si>
  <si>
    <t>第10週</t>
    <phoneticPr fontId="3" type="noConversion"/>
  </si>
  <si>
    <t>星期一</t>
    <phoneticPr fontId="3" type="noConversion"/>
  </si>
  <si>
    <t>番茄炒蛋</t>
    <phoneticPr fontId="3" type="noConversion"/>
  </si>
  <si>
    <t>四季翅小腿</t>
    <phoneticPr fontId="3" type="noConversion"/>
  </si>
  <si>
    <t>小白菜</t>
    <phoneticPr fontId="3" type="noConversion"/>
  </si>
  <si>
    <t>枸杞黃瓜湯</t>
    <phoneticPr fontId="3" type="noConversion"/>
  </si>
  <si>
    <t>第11週</t>
    <phoneticPr fontId="3" type="noConversion"/>
  </si>
  <si>
    <t>香Q白飯</t>
    <phoneticPr fontId="3" type="noConversion"/>
  </si>
  <si>
    <t>第12週</t>
    <phoneticPr fontId="3" type="noConversion"/>
  </si>
  <si>
    <t>第13週</t>
    <phoneticPr fontId="3" type="noConversion"/>
  </si>
  <si>
    <t>第14週</t>
    <phoneticPr fontId="3" type="noConversion"/>
  </si>
  <si>
    <t>蛋液</t>
    <phoneticPr fontId="3" type="noConversion"/>
  </si>
  <si>
    <t>冬粉(乾重)</t>
    <phoneticPr fontId="3" type="noConversion"/>
  </si>
  <si>
    <t>高麗菜</t>
    <phoneticPr fontId="3" type="noConversion"/>
  </si>
  <si>
    <t>蒙古高麗肉片</t>
    <phoneticPr fontId="3" type="noConversion"/>
  </si>
  <si>
    <t>豬肉</t>
    <phoneticPr fontId="3" type="noConversion"/>
  </si>
  <si>
    <t>冬粉(乾重)</t>
    <phoneticPr fontId="3" type="noConversion"/>
  </si>
  <si>
    <t>洋蔥</t>
    <phoneticPr fontId="3" type="noConversion"/>
  </si>
  <si>
    <t>紅蘿蔔</t>
  </si>
  <si>
    <t>肉片炒高麗</t>
    <phoneticPr fontId="3" type="noConversion"/>
  </si>
  <si>
    <t>豬肉</t>
    <phoneticPr fontId="3" type="noConversion"/>
  </si>
  <si>
    <t>紫菜(乾重)</t>
    <phoneticPr fontId="3" type="noConversion"/>
  </si>
  <si>
    <t>●魚類包冰率為: 水鯊魚18%</t>
    <phoneticPr fontId="3" type="noConversion"/>
  </si>
  <si>
    <t>●水果排程因季節天氣影響需待前一週廠商告知</t>
    <phoneticPr fontId="3" type="noConversion"/>
  </si>
  <si>
    <r>
      <t xml:space="preserve">●本菜單開立均是以 </t>
    </r>
    <r>
      <rPr>
        <b/>
        <sz val="12"/>
        <color indexed="10"/>
        <rFont val="新細明體"/>
        <family val="1"/>
        <charset val="136"/>
      </rPr>
      <t xml:space="preserve">可食量 </t>
    </r>
    <r>
      <rPr>
        <sz val="12"/>
        <color indexed="10"/>
        <rFont val="新細明體"/>
        <family val="1"/>
        <charset val="136"/>
      </rPr>
      <t xml:space="preserve">計算營養素 </t>
    </r>
    <phoneticPr fontId="3" type="noConversion"/>
  </si>
  <si>
    <t>●食物廢棄率為:雞翅40%、雞腿40%、帶骨大排40%、排骨62%、玉米段38% (參考FDA營養資料庫)</t>
    <phoneticPr fontId="3" type="noConversion"/>
  </si>
  <si>
    <r>
      <t xml:space="preserve">●本菜單開立均是以 </t>
    </r>
    <r>
      <rPr>
        <b/>
        <sz val="12"/>
        <color indexed="10"/>
        <rFont val="新細明體"/>
        <family val="1"/>
        <charset val="136"/>
      </rPr>
      <t xml:space="preserve">可食量 </t>
    </r>
    <r>
      <rPr>
        <sz val="12"/>
        <color indexed="10"/>
        <rFont val="新細明體"/>
        <family val="1"/>
        <charset val="136"/>
      </rPr>
      <t xml:space="preserve">計算營養素 </t>
    </r>
    <phoneticPr fontId="3" type="noConversion"/>
  </si>
  <si>
    <t>少許</t>
    <phoneticPr fontId="3" type="noConversion"/>
  </si>
  <si>
    <t>少許</t>
    <phoneticPr fontId="3" type="noConversion"/>
  </si>
  <si>
    <t>玉米粒</t>
    <phoneticPr fontId="3" type="noConversion"/>
  </si>
  <si>
    <t>福州丸</t>
    <phoneticPr fontId="3" type="noConversion"/>
  </si>
  <si>
    <t>紅K</t>
  </si>
  <si>
    <t>海芽(乾重)</t>
    <phoneticPr fontId="3" type="noConversion"/>
  </si>
  <si>
    <t>大瓜排骨湯</t>
    <phoneticPr fontId="3" type="noConversion"/>
  </si>
  <si>
    <t>大瓜</t>
    <phoneticPr fontId="3" type="noConversion"/>
  </si>
  <si>
    <t>豆干</t>
    <phoneticPr fontId="3" type="noConversion"/>
  </si>
  <si>
    <t xml:space="preserve">營養
分析 </t>
    <phoneticPr fontId="3" type="noConversion"/>
  </si>
  <si>
    <t>附
餐</t>
    <phoneticPr fontId="3" type="noConversion"/>
  </si>
  <si>
    <r>
      <t xml:space="preserve">●本菜單開立均是以 </t>
    </r>
    <r>
      <rPr>
        <b/>
        <sz val="12"/>
        <color indexed="10"/>
        <rFont val="新細明體"/>
        <family val="1"/>
        <charset val="136"/>
      </rPr>
      <t xml:space="preserve">可食量 </t>
    </r>
    <r>
      <rPr>
        <sz val="12"/>
        <color indexed="10"/>
        <rFont val="新細明體"/>
        <family val="1"/>
        <charset val="136"/>
      </rPr>
      <t xml:space="preserve">計算營養素 </t>
    </r>
    <phoneticPr fontId="3" type="noConversion"/>
  </si>
  <si>
    <t>番茄蛋花湯</t>
    <phoneticPr fontId="3" type="noConversion"/>
  </si>
  <si>
    <t>大白菜</t>
    <phoneticPr fontId="3" type="noConversion"/>
  </si>
  <si>
    <t>番茄</t>
    <phoneticPr fontId="3" type="noConversion"/>
  </si>
  <si>
    <t>營養菇菇湯</t>
    <phoneticPr fontId="3" type="noConversion"/>
  </si>
  <si>
    <t>燒</t>
    <phoneticPr fontId="3" type="noConversion"/>
  </si>
  <si>
    <t>滷</t>
    <phoneticPr fontId="3" type="noConversion"/>
  </si>
  <si>
    <t>燒</t>
    <phoneticPr fontId="3" type="noConversion"/>
  </si>
  <si>
    <t>煮</t>
    <phoneticPr fontId="3" type="noConversion"/>
  </si>
  <si>
    <t>蒜頭</t>
    <phoneticPr fontId="3" type="noConversion"/>
  </si>
  <si>
    <t>少許</t>
    <phoneticPr fontId="3" type="noConversion"/>
  </si>
  <si>
    <t>薑絲</t>
    <phoneticPr fontId="3" type="noConversion"/>
  </si>
  <si>
    <t>金針菇</t>
    <phoneticPr fontId="3" type="noConversion"/>
  </si>
  <si>
    <t>紫菜(乾重)</t>
    <phoneticPr fontId="3" type="noConversion"/>
  </si>
  <si>
    <t>九層塔</t>
    <phoneticPr fontId="3" type="noConversion"/>
  </si>
  <si>
    <t>少許</t>
    <phoneticPr fontId="3" type="noConversion"/>
  </si>
  <si>
    <t>營養菇菇湯</t>
    <phoneticPr fontId="3" type="noConversion"/>
  </si>
  <si>
    <t>和風關東煮</t>
    <phoneticPr fontId="3" type="noConversion"/>
  </si>
  <si>
    <t>芙蓉炒蛋</t>
    <phoneticPr fontId="3" type="noConversion"/>
  </si>
  <si>
    <t>肉末海根</t>
    <phoneticPr fontId="3" type="noConversion"/>
  </si>
  <si>
    <t>竹筍排骨湯</t>
    <phoneticPr fontId="3" type="noConversion"/>
  </si>
  <si>
    <t>營養
分析</t>
    <phoneticPr fontId="3" type="noConversion"/>
  </si>
  <si>
    <t>醣類g</t>
    <phoneticPr fontId="3" type="noConversion"/>
  </si>
  <si>
    <t>脂肪g</t>
    <phoneticPr fontId="3" type="noConversion"/>
  </si>
  <si>
    <t>蛋白質g</t>
    <phoneticPr fontId="3" type="noConversion"/>
  </si>
  <si>
    <t>熱量kcal：</t>
    <phoneticPr fontId="3" type="noConversion"/>
  </si>
  <si>
    <t>熱量kcal</t>
    <phoneticPr fontId="3" type="noConversion"/>
  </si>
  <si>
    <t>醣類g</t>
    <phoneticPr fontId="3" type="noConversion"/>
  </si>
  <si>
    <t>熱量kcal</t>
    <phoneticPr fontId="3" type="noConversion"/>
  </si>
  <si>
    <t>蛋白質g</t>
    <phoneticPr fontId="3" type="noConversion"/>
  </si>
  <si>
    <t xml:space="preserve">  ◆             </t>
    <phoneticPr fontId="3" type="noConversion"/>
  </si>
  <si>
    <t>標示為使用有機食材</t>
    <phoneticPr fontId="3" type="noConversion"/>
  </si>
  <si>
    <t xml:space="preserve">   標示為油炸菜色</t>
    <phoneticPr fontId="3" type="noConversion"/>
  </si>
  <si>
    <t>飯菜量如有任何問題，請找貝佳服務人員，謝謝您!</t>
    <phoneticPr fontId="3" type="noConversion"/>
  </si>
  <si>
    <t xml:space="preserve"> 全面採用非基改、符合三章一Q食材(TAP產銷履歷.CAS台灣優良農產品.CAS台灣有機農產品.QR-Code生產追溯)</t>
    <phoneticPr fontId="3" type="noConversion"/>
  </si>
  <si>
    <t>標示為加工品</t>
    <phoneticPr fontId="3" type="noConversion"/>
  </si>
  <si>
    <t>標示為有機蔬菜</t>
    <phoneticPr fontId="3" type="noConversion"/>
  </si>
  <si>
    <t>標示為炸品</t>
    <phoneticPr fontId="3" type="noConversion"/>
  </si>
  <si>
    <t>星期四</t>
    <phoneticPr fontId="3" type="noConversion"/>
  </si>
  <si>
    <t>星期五</t>
    <phoneticPr fontId="3" type="noConversion"/>
  </si>
  <si>
    <t>醬燒里肌</t>
    <phoneticPr fontId="3" type="noConversion"/>
  </si>
  <si>
    <t>油菜</t>
    <phoneticPr fontId="3" type="noConversion"/>
  </si>
  <si>
    <t>青江菜</t>
    <phoneticPr fontId="3" type="noConversion"/>
  </si>
  <si>
    <t>古早味豬血湯</t>
    <phoneticPr fontId="3" type="noConversion"/>
  </si>
  <si>
    <t>醣類g</t>
    <phoneticPr fontId="3" type="noConversion"/>
  </si>
  <si>
    <t>蛋白質g</t>
    <phoneticPr fontId="3" type="noConversion"/>
  </si>
  <si>
    <t>蛋白質g</t>
    <phoneticPr fontId="3" type="noConversion"/>
  </si>
  <si>
    <t>脂肪g</t>
    <phoneticPr fontId="3" type="noConversion"/>
  </si>
  <si>
    <t>熱量kcal</t>
    <phoneticPr fontId="3" type="noConversion"/>
  </si>
  <si>
    <t>熱量kcal</t>
    <phoneticPr fontId="3" type="noConversion"/>
  </si>
  <si>
    <t>星期一</t>
    <phoneticPr fontId="3" type="noConversion"/>
  </si>
  <si>
    <t>星期二</t>
    <phoneticPr fontId="3" type="noConversion"/>
  </si>
  <si>
    <t>星期五</t>
    <phoneticPr fontId="3" type="noConversion"/>
  </si>
  <si>
    <t>壽喜燒肉</t>
    <phoneticPr fontId="3" type="noConversion"/>
  </si>
  <si>
    <t>肉燥福州丸</t>
    <phoneticPr fontId="3" type="noConversion"/>
  </si>
  <si>
    <t>芝麻海根</t>
    <phoneticPr fontId="3" type="noConversion"/>
  </si>
  <si>
    <t>敏豆混炒</t>
    <phoneticPr fontId="3" type="noConversion"/>
  </si>
  <si>
    <t>三色滷蛋</t>
    <phoneticPr fontId="3" type="noConversion"/>
  </si>
  <si>
    <t>酸辣湯</t>
    <phoneticPr fontId="3" type="noConversion"/>
  </si>
  <si>
    <t>大瓜排骨湯</t>
    <phoneticPr fontId="3" type="noConversion"/>
  </si>
  <si>
    <t>蛋白質g</t>
    <phoneticPr fontId="3" type="noConversion"/>
  </si>
  <si>
    <t>熱量kcal</t>
    <phoneticPr fontId="3" type="noConversion"/>
  </si>
  <si>
    <t>星期一</t>
    <phoneticPr fontId="3" type="noConversion"/>
  </si>
  <si>
    <t>星期二</t>
    <phoneticPr fontId="3" type="noConversion"/>
  </si>
  <si>
    <t>星期三</t>
    <phoneticPr fontId="3" type="noConversion"/>
  </si>
  <si>
    <t>星期五</t>
    <phoneticPr fontId="3" type="noConversion"/>
  </si>
  <si>
    <t>鳳梨雞丁</t>
    <phoneticPr fontId="3" type="noConversion"/>
  </si>
  <si>
    <t>鮮蔬百頁</t>
    <phoneticPr fontId="3" type="noConversion"/>
  </si>
  <si>
    <t>筍香肉燥</t>
    <phoneticPr fontId="3" type="noConversion"/>
  </si>
  <si>
    <t>螞蟻上樹</t>
    <phoneticPr fontId="3" type="noConversion"/>
  </si>
  <si>
    <t>油菜</t>
    <phoneticPr fontId="3" type="noConversion"/>
  </si>
  <si>
    <t>小白菜</t>
    <phoneticPr fontId="3" type="noConversion"/>
  </si>
  <si>
    <t>日式味噌湯</t>
    <phoneticPr fontId="3" type="noConversion"/>
  </si>
  <si>
    <t>土瓶蒸湯</t>
    <phoneticPr fontId="3" type="noConversion"/>
  </si>
  <si>
    <t>青木瓜排骨湯</t>
    <phoneticPr fontId="3" type="noConversion"/>
  </si>
  <si>
    <t>醣類g</t>
    <phoneticPr fontId="3" type="noConversion"/>
  </si>
  <si>
    <t>蛋白質g</t>
    <phoneticPr fontId="3" type="noConversion"/>
  </si>
  <si>
    <t>脂肪g</t>
    <phoneticPr fontId="3" type="noConversion"/>
  </si>
  <si>
    <t>熱量kcal</t>
    <phoneticPr fontId="3" type="noConversion"/>
  </si>
  <si>
    <t>星期一</t>
    <phoneticPr fontId="3" type="noConversion"/>
  </si>
  <si>
    <t>星期三</t>
    <phoneticPr fontId="3" type="noConversion"/>
  </si>
  <si>
    <t>星期四</t>
    <phoneticPr fontId="3" type="noConversion"/>
  </si>
  <si>
    <t>蒜香雞腿</t>
    <phoneticPr fontId="3" type="noConversion"/>
  </si>
  <si>
    <t>薑燒肉片</t>
    <phoneticPr fontId="3" type="noConversion"/>
  </si>
  <si>
    <t>蒙古高麗肉片</t>
    <phoneticPr fontId="3" type="noConversion"/>
  </si>
  <si>
    <t>針菇鮮瓜</t>
    <phoneticPr fontId="3" type="noConversion"/>
  </si>
  <si>
    <t>鵝白菜</t>
    <phoneticPr fontId="3" type="noConversion"/>
  </si>
  <si>
    <t>青江菜</t>
    <phoneticPr fontId="3" type="noConversion"/>
  </si>
  <si>
    <t>醣類g</t>
    <phoneticPr fontId="3" type="noConversion"/>
  </si>
  <si>
    <t>蛋白質g</t>
    <phoneticPr fontId="3" type="noConversion"/>
  </si>
  <si>
    <t>脂肪g</t>
    <phoneticPr fontId="3" type="noConversion"/>
  </si>
  <si>
    <t>熱量kcal</t>
    <phoneticPr fontId="3" type="noConversion"/>
  </si>
  <si>
    <t>星期四</t>
    <phoneticPr fontId="3" type="noConversion"/>
  </si>
  <si>
    <t>星期五</t>
    <phoneticPr fontId="3" type="noConversion"/>
  </si>
  <si>
    <t>玉米濃湯</t>
    <phoneticPr fontId="3" type="noConversion"/>
  </si>
  <si>
    <t>蛋白質g</t>
    <phoneticPr fontId="3" type="noConversion"/>
  </si>
  <si>
    <t>醣類g</t>
    <phoneticPr fontId="3" type="noConversion"/>
  </si>
  <si>
    <t>醣類g</t>
    <phoneticPr fontId="3" type="noConversion"/>
  </si>
  <si>
    <t>蛋白質g</t>
    <phoneticPr fontId="3" type="noConversion"/>
  </si>
  <si>
    <t>燕麥飯</t>
    <phoneticPr fontId="3" type="noConversion"/>
  </si>
  <si>
    <t>小米飯</t>
    <phoneticPr fontId="3" type="noConversion"/>
  </si>
  <si>
    <t>黑胡椒豬柳</t>
    <phoneticPr fontId="3" type="noConversion"/>
  </si>
  <si>
    <t>玉米肉末</t>
    <phoneticPr fontId="3" type="noConversion"/>
  </si>
  <si>
    <t>小瓜炒魚輪</t>
    <phoneticPr fontId="3" type="noConversion"/>
  </si>
  <si>
    <t>蔥燒雞腿</t>
    <phoneticPr fontId="3" type="noConversion"/>
  </si>
  <si>
    <t>太祖肉羹</t>
    <phoneticPr fontId="3" type="noConversion"/>
  </si>
  <si>
    <t>彩繪麵疙瘩</t>
    <phoneticPr fontId="3" type="noConversion"/>
  </si>
  <si>
    <t>BBQ烤雞翅</t>
    <phoneticPr fontId="3" type="noConversion"/>
  </si>
  <si>
    <t>燕麥飯</t>
    <phoneticPr fontId="3" type="noConversion"/>
  </si>
  <si>
    <t>鐵路大排</t>
    <phoneticPr fontId="3" type="noConversion"/>
  </si>
  <si>
    <t>咖哩肉丸</t>
    <phoneticPr fontId="3" type="noConversion"/>
  </si>
  <si>
    <t>海芽蛋花湯</t>
    <phoneticPr fontId="3" type="noConversion"/>
  </si>
  <si>
    <t>三杯雞</t>
    <phoneticPr fontId="3" type="noConversion"/>
  </si>
  <si>
    <t>五更豆腐煲</t>
    <phoneticPr fontId="3" type="noConversion"/>
  </si>
  <si>
    <t>四神湯</t>
    <phoneticPr fontId="3" type="noConversion"/>
  </si>
  <si>
    <t>糖醋肉丁</t>
    <phoneticPr fontId="3" type="noConversion"/>
  </si>
  <si>
    <t>南洋咖哩雞</t>
    <phoneticPr fontId="3" type="noConversion"/>
  </si>
  <si>
    <t>蜜汁印干</t>
    <phoneticPr fontId="3" type="noConversion"/>
  </si>
  <si>
    <t>胚米飯</t>
    <phoneticPr fontId="3" type="noConversion"/>
  </si>
  <si>
    <t>在地人炒麵</t>
    <phoneticPr fontId="3" type="noConversion"/>
  </si>
  <si>
    <t>夏威夷炒飯</t>
    <phoneticPr fontId="3" type="noConversion"/>
  </si>
  <si>
    <t>香草雞腿</t>
    <phoneticPr fontId="3" type="noConversion"/>
  </si>
  <si>
    <t>咖哩肉丸</t>
    <phoneticPr fontId="3" type="noConversion"/>
  </si>
  <si>
    <t>玉筍花椰</t>
    <phoneticPr fontId="3" type="noConversion"/>
  </si>
  <si>
    <t>糖醋咕咾肉</t>
    <phoneticPr fontId="3" type="noConversion"/>
  </si>
  <si>
    <t>紅絲滑蛋</t>
    <phoneticPr fontId="3" type="noConversion"/>
  </si>
  <si>
    <t>鐵板鮮蔬</t>
    <phoneticPr fontId="3" type="noConversion"/>
  </si>
  <si>
    <t>和風蒸蛋</t>
    <phoneticPr fontId="3" type="noConversion"/>
  </si>
  <si>
    <t>芝麻肉排丁</t>
    <phoneticPr fontId="3" type="noConversion"/>
  </si>
  <si>
    <t>彩繪青花</t>
    <phoneticPr fontId="3" type="noConversion"/>
  </si>
  <si>
    <t>紫玉白菜滷</t>
    <phoneticPr fontId="3" type="noConversion"/>
  </si>
  <si>
    <t>卡拉雞翅</t>
    <phoneticPr fontId="3" type="noConversion"/>
  </si>
  <si>
    <t>蒙古高麗肉片</t>
    <phoneticPr fontId="3" type="noConversion"/>
  </si>
  <si>
    <t>海苔花枝丸</t>
    <phoneticPr fontId="3" type="noConversion"/>
  </si>
  <si>
    <t>小鮮肉包</t>
    <phoneticPr fontId="3" type="noConversion"/>
  </si>
  <si>
    <t>小瓜炒甜不辣</t>
    <phoneticPr fontId="3" type="noConversion"/>
  </si>
  <si>
    <t>大理石麵包</t>
    <phoneticPr fontId="3" type="noConversion"/>
  </si>
  <si>
    <t>番茄蛋花湯</t>
    <phoneticPr fontId="3" type="noConversion"/>
  </si>
  <si>
    <t>藥膳排骨湯</t>
    <phoneticPr fontId="3" type="noConversion"/>
  </si>
  <si>
    <t>紅豆燉奶</t>
    <phoneticPr fontId="3" type="noConversion"/>
  </si>
  <si>
    <t>Q圓奶茶</t>
    <phoneticPr fontId="3" type="noConversion"/>
  </si>
  <si>
    <t>珍珠紅茶</t>
    <phoneticPr fontId="3" type="noConversion"/>
  </si>
  <si>
    <t>鵝白菜</t>
    <phoneticPr fontId="3" type="noConversion"/>
  </si>
  <si>
    <t>油菜</t>
    <phoneticPr fontId="3" type="noConversion"/>
  </si>
  <si>
    <t>蛋酥炒高麗</t>
    <phoneticPr fontId="3" type="noConversion"/>
  </si>
  <si>
    <t>香草雞腿</t>
    <phoneticPr fontId="3" type="noConversion"/>
  </si>
  <si>
    <t>雞腿</t>
    <phoneticPr fontId="3" type="noConversion"/>
  </si>
  <si>
    <t>滷</t>
    <phoneticPr fontId="3" type="noConversion"/>
  </si>
  <si>
    <t>咖哩肉丸</t>
    <phoneticPr fontId="3" type="noConversion"/>
  </si>
  <si>
    <t>洋芋</t>
    <phoneticPr fontId="3" type="noConversion"/>
  </si>
  <si>
    <t>青花椰</t>
    <phoneticPr fontId="3" type="noConversion"/>
  </si>
  <si>
    <t>洋蔥</t>
    <phoneticPr fontId="3" type="noConversion"/>
  </si>
  <si>
    <t>白花椰</t>
    <phoneticPr fontId="3" type="noConversion"/>
  </si>
  <si>
    <t>絞肉</t>
    <phoneticPr fontId="3" type="noConversion"/>
  </si>
  <si>
    <t>紅蘿蔔</t>
    <phoneticPr fontId="3" type="noConversion"/>
  </si>
  <si>
    <t>玉米筍</t>
    <phoneticPr fontId="3" type="noConversion"/>
  </si>
  <si>
    <t>青豆仁</t>
    <phoneticPr fontId="3" type="noConversion"/>
  </si>
  <si>
    <t>滷</t>
    <phoneticPr fontId="3" type="noConversion"/>
  </si>
  <si>
    <t>炒</t>
    <phoneticPr fontId="3" type="noConversion"/>
  </si>
  <si>
    <t>卡拉雞翅</t>
    <phoneticPr fontId="3" type="noConversion"/>
  </si>
  <si>
    <t>雞翅</t>
    <phoneticPr fontId="3" type="noConversion"/>
  </si>
  <si>
    <t>炸</t>
    <phoneticPr fontId="3" type="noConversion"/>
  </si>
  <si>
    <t>紅豆燉奶</t>
    <phoneticPr fontId="3" type="noConversion"/>
  </si>
  <si>
    <t>紅豆</t>
    <phoneticPr fontId="3" type="noConversion"/>
  </si>
  <si>
    <t>奶精</t>
    <phoneticPr fontId="3" type="noConversion"/>
  </si>
  <si>
    <t>小米飯</t>
    <phoneticPr fontId="3" type="noConversion"/>
  </si>
  <si>
    <t>白米</t>
    <phoneticPr fontId="22" type="noConversion"/>
  </si>
  <si>
    <t>小米</t>
    <phoneticPr fontId="3" type="noConversion"/>
  </si>
  <si>
    <t>蒸</t>
    <phoneticPr fontId="3" type="noConversion"/>
  </si>
  <si>
    <t>黑胡椒豬柳</t>
    <phoneticPr fontId="3" type="noConversion"/>
  </si>
  <si>
    <t>豬柳</t>
    <phoneticPr fontId="3" type="noConversion"/>
  </si>
  <si>
    <t>青蔥</t>
    <phoneticPr fontId="3" type="noConversion"/>
  </si>
  <si>
    <t>煮</t>
    <phoneticPr fontId="3" type="noConversion"/>
  </si>
  <si>
    <t>玉米肉末</t>
    <phoneticPr fontId="3" type="noConversion"/>
  </si>
  <si>
    <t>玉米粒</t>
    <phoneticPr fontId="3" type="noConversion"/>
  </si>
  <si>
    <t>洋芋</t>
    <phoneticPr fontId="24" type="noConversion"/>
  </si>
  <si>
    <t>絞肉</t>
    <phoneticPr fontId="3" type="noConversion"/>
  </si>
  <si>
    <t>紅蘿蔔</t>
    <phoneticPr fontId="3" type="noConversion"/>
  </si>
  <si>
    <t>青豆仁</t>
    <phoneticPr fontId="3" type="noConversion"/>
  </si>
  <si>
    <t>炒</t>
    <phoneticPr fontId="3" type="noConversion"/>
  </si>
  <si>
    <t>小瓜炒魚輪</t>
    <phoneticPr fontId="3" type="noConversion"/>
  </si>
  <si>
    <t>小黃瓜</t>
    <phoneticPr fontId="3" type="noConversion"/>
  </si>
  <si>
    <t>杏鮑菇</t>
    <phoneticPr fontId="3" type="noConversion"/>
  </si>
  <si>
    <t>魚輪段</t>
    <phoneticPr fontId="3" type="noConversion"/>
  </si>
  <si>
    <t>甜椒</t>
    <phoneticPr fontId="3" type="noConversion"/>
  </si>
  <si>
    <t>紅蘿蔔</t>
    <phoneticPr fontId="3" type="noConversion"/>
  </si>
  <si>
    <t>炒</t>
    <phoneticPr fontId="3" type="noConversion"/>
  </si>
  <si>
    <t>糖醋咕咾肉</t>
    <phoneticPr fontId="3" type="noConversion"/>
  </si>
  <si>
    <t>紅絲滑蛋</t>
    <phoneticPr fontId="3" type="noConversion"/>
  </si>
  <si>
    <t>鐵板鮮蔬</t>
    <phoneticPr fontId="3" type="noConversion"/>
  </si>
  <si>
    <t>肉丁</t>
    <phoneticPr fontId="3" type="noConversion"/>
  </si>
  <si>
    <t>液蛋</t>
    <phoneticPr fontId="3" type="noConversion"/>
  </si>
  <si>
    <t>洋蔥</t>
    <phoneticPr fontId="3" type="noConversion"/>
  </si>
  <si>
    <t>紅蘿蔔</t>
    <phoneticPr fontId="3" type="noConversion"/>
  </si>
  <si>
    <t>豆芽菜</t>
    <phoneticPr fontId="3" type="noConversion"/>
  </si>
  <si>
    <t>鳳梨</t>
    <phoneticPr fontId="3" type="noConversion"/>
  </si>
  <si>
    <t>青豆仁</t>
    <phoneticPr fontId="3" type="noConversion"/>
  </si>
  <si>
    <t>青蔥</t>
    <phoneticPr fontId="24" type="noConversion"/>
  </si>
  <si>
    <t>木耳</t>
    <phoneticPr fontId="3" type="noConversion"/>
  </si>
  <si>
    <t>韭菜</t>
    <phoneticPr fontId="3" type="noConversion"/>
  </si>
  <si>
    <t>燒</t>
    <phoneticPr fontId="3" type="noConversion"/>
  </si>
  <si>
    <t>炒</t>
    <phoneticPr fontId="3" type="noConversion"/>
  </si>
  <si>
    <t>在地人炒麵</t>
    <phoneticPr fontId="3" type="noConversion"/>
  </si>
  <si>
    <t>麵條</t>
    <phoneticPr fontId="3" type="noConversion"/>
  </si>
  <si>
    <t>豬肉</t>
    <phoneticPr fontId="3" type="noConversion"/>
  </si>
  <si>
    <t>洋蔥</t>
    <phoneticPr fontId="3" type="noConversion"/>
  </si>
  <si>
    <t>木耳</t>
    <phoneticPr fontId="3" type="noConversion"/>
  </si>
  <si>
    <t>小鮮肉包</t>
    <phoneticPr fontId="3" type="noConversion"/>
  </si>
  <si>
    <t>肉包</t>
    <phoneticPr fontId="3" type="noConversion"/>
  </si>
  <si>
    <t>蒸</t>
    <phoneticPr fontId="3" type="noConversion"/>
  </si>
  <si>
    <t>Q圓奶茶</t>
    <phoneticPr fontId="3" type="noConversion"/>
  </si>
  <si>
    <t>Q圓</t>
    <phoneticPr fontId="3" type="noConversion"/>
  </si>
  <si>
    <t>蔥燒雞腿</t>
    <phoneticPr fontId="3" type="noConversion"/>
  </si>
  <si>
    <t>雞腿</t>
    <phoneticPr fontId="3" type="noConversion"/>
  </si>
  <si>
    <t>少許</t>
    <phoneticPr fontId="3" type="noConversion"/>
  </si>
  <si>
    <t>滷</t>
    <phoneticPr fontId="3" type="noConversion"/>
  </si>
  <si>
    <t>太祖肉羹</t>
    <phoneticPr fontId="3" type="noConversion"/>
  </si>
  <si>
    <t>大白菜</t>
    <phoneticPr fontId="3" type="noConversion"/>
  </si>
  <si>
    <t>紅K</t>
    <phoneticPr fontId="3" type="noConversion"/>
  </si>
  <si>
    <t>筍絲</t>
    <phoneticPr fontId="3" type="noConversion"/>
  </si>
  <si>
    <t>肉羹</t>
    <phoneticPr fontId="3" type="noConversion"/>
  </si>
  <si>
    <t>木耳</t>
    <phoneticPr fontId="3" type="noConversion"/>
  </si>
  <si>
    <t>九層塔</t>
    <phoneticPr fontId="3" type="noConversion"/>
  </si>
  <si>
    <t>海芽蛋花湯</t>
    <phoneticPr fontId="3" type="noConversion"/>
  </si>
  <si>
    <t>紫菜(乾重)</t>
    <phoneticPr fontId="3" type="noConversion"/>
  </si>
  <si>
    <t>液蛋</t>
  </si>
  <si>
    <t>薑絲</t>
    <phoneticPr fontId="3" type="noConversion"/>
  </si>
  <si>
    <t>彩繪麵疙瘩</t>
    <phoneticPr fontId="3" type="noConversion"/>
  </si>
  <si>
    <t>鵝白菜</t>
    <phoneticPr fontId="3" type="noConversion"/>
  </si>
  <si>
    <t>BBQ烤雞翅</t>
    <phoneticPr fontId="3" type="noConversion"/>
  </si>
  <si>
    <t>和風蒸蛋</t>
    <phoneticPr fontId="3" type="noConversion"/>
  </si>
  <si>
    <t>雞翅</t>
    <phoneticPr fontId="3" type="noConversion"/>
  </si>
  <si>
    <t>金針菇</t>
    <phoneticPr fontId="3" type="noConversion"/>
  </si>
  <si>
    <t>海苔</t>
    <phoneticPr fontId="3" type="noConversion"/>
  </si>
  <si>
    <t>烤</t>
    <phoneticPr fontId="3" type="noConversion"/>
  </si>
  <si>
    <t>蒸</t>
    <phoneticPr fontId="3" type="noConversion"/>
  </si>
  <si>
    <t>鐵路大排</t>
    <phoneticPr fontId="3" type="noConversion"/>
  </si>
  <si>
    <t>蛋酥炒高麗</t>
    <phoneticPr fontId="3" type="noConversion"/>
  </si>
  <si>
    <t>帶骨大排</t>
    <phoneticPr fontId="3" type="noConversion"/>
  </si>
  <si>
    <t>洋芋</t>
    <phoneticPr fontId="3" type="noConversion"/>
  </si>
  <si>
    <t>高麗菜</t>
    <phoneticPr fontId="3" type="noConversion"/>
  </si>
  <si>
    <t>洋蔥</t>
    <phoneticPr fontId="3" type="noConversion"/>
  </si>
  <si>
    <t>木耳</t>
    <phoneticPr fontId="3" type="noConversion"/>
  </si>
  <si>
    <t>煮</t>
    <phoneticPr fontId="3" type="noConversion"/>
  </si>
  <si>
    <t>芝麻肉排丁</t>
    <phoneticPr fontId="3" type="noConversion"/>
  </si>
  <si>
    <t>和風關東煮</t>
    <phoneticPr fontId="3" type="noConversion"/>
  </si>
  <si>
    <t>彩繪雙花</t>
    <phoneticPr fontId="3" type="noConversion"/>
  </si>
  <si>
    <t>豆腐</t>
    <phoneticPr fontId="3" type="noConversion"/>
  </si>
  <si>
    <t>青花菜</t>
    <phoneticPr fontId="3" type="noConversion"/>
  </si>
  <si>
    <t>小排丁</t>
    <phoneticPr fontId="3" type="noConversion"/>
  </si>
  <si>
    <t>玉米段</t>
    <phoneticPr fontId="3" type="noConversion"/>
  </si>
  <si>
    <t>白花菜</t>
    <phoneticPr fontId="3" type="noConversion"/>
  </si>
  <si>
    <t>白蘿蔔</t>
    <phoneticPr fontId="3" type="noConversion"/>
  </si>
  <si>
    <t>海結</t>
    <phoneticPr fontId="3" type="noConversion"/>
  </si>
  <si>
    <t>甜椒</t>
    <phoneticPr fontId="3" type="noConversion"/>
  </si>
  <si>
    <t>白芝麻</t>
    <phoneticPr fontId="3" type="noConversion"/>
  </si>
  <si>
    <t>少許</t>
    <phoneticPr fontId="3" type="noConversion"/>
  </si>
  <si>
    <t>煮</t>
    <phoneticPr fontId="3" type="noConversion"/>
  </si>
  <si>
    <t>夏威夷炒飯</t>
    <phoneticPr fontId="3" type="noConversion"/>
  </si>
  <si>
    <t>鳳梨</t>
    <phoneticPr fontId="3" type="noConversion"/>
  </si>
  <si>
    <t>豬排</t>
    <phoneticPr fontId="3" type="noConversion"/>
  </si>
  <si>
    <t>珍珠紅茶</t>
    <phoneticPr fontId="3" type="noConversion"/>
  </si>
  <si>
    <t>珍珠</t>
    <phoneticPr fontId="3" type="noConversion"/>
  </si>
  <si>
    <t>紅茶包</t>
    <phoneticPr fontId="3" type="noConversion"/>
  </si>
  <si>
    <t>適量</t>
    <phoneticPr fontId="3" type="noConversion"/>
  </si>
  <si>
    <t>大理石麵包</t>
    <phoneticPr fontId="3" type="noConversion"/>
  </si>
  <si>
    <t>烤</t>
    <phoneticPr fontId="3" type="noConversion"/>
  </si>
  <si>
    <t>三杯雞</t>
    <phoneticPr fontId="3" type="noConversion"/>
  </si>
  <si>
    <t>雞丁</t>
    <phoneticPr fontId="3" type="noConversion"/>
  </si>
  <si>
    <t>薑片</t>
    <phoneticPr fontId="3" type="noConversion"/>
  </si>
  <si>
    <t>五更豆腐</t>
    <phoneticPr fontId="3" type="noConversion"/>
  </si>
  <si>
    <t>板豆腐</t>
    <phoneticPr fontId="3" type="noConversion"/>
  </si>
  <si>
    <t>豬血丁</t>
    <phoneticPr fontId="3" type="noConversion"/>
  </si>
  <si>
    <t>韭菜</t>
    <phoneticPr fontId="3" type="noConversion"/>
  </si>
  <si>
    <t>酸菜</t>
    <phoneticPr fontId="3" type="noConversion"/>
  </si>
  <si>
    <t>煮</t>
    <phoneticPr fontId="3" type="noConversion"/>
  </si>
  <si>
    <t>四神湯</t>
    <phoneticPr fontId="3" type="noConversion"/>
  </si>
  <si>
    <t>白蘿蔔</t>
    <phoneticPr fontId="3" type="noConversion"/>
  </si>
  <si>
    <t>排骨</t>
    <phoneticPr fontId="3" type="noConversion"/>
  </si>
  <si>
    <t>薏仁(乾重)</t>
    <phoneticPr fontId="3" type="noConversion"/>
  </si>
  <si>
    <t>油菜</t>
    <phoneticPr fontId="3" type="noConversion"/>
  </si>
  <si>
    <t>糖醋肉丁</t>
    <phoneticPr fontId="3" type="noConversion"/>
  </si>
  <si>
    <t>蜜汁印干</t>
    <phoneticPr fontId="3" type="noConversion"/>
  </si>
  <si>
    <t>紫玉白菜滷</t>
    <phoneticPr fontId="3" type="noConversion"/>
  </si>
  <si>
    <t>豆干</t>
    <phoneticPr fontId="3" type="noConversion"/>
  </si>
  <si>
    <t>白芝麻</t>
    <phoneticPr fontId="3" type="noConversion"/>
  </si>
  <si>
    <t>鳳梨</t>
    <phoneticPr fontId="3" type="noConversion"/>
  </si>
  <si>
    <t>香菇</t>
    <phoneticPr fontId="3" type="noConversion"/>
  </si>
  <si>
    <t>芋頭</t>
    <phoneticPr fontId="3" type="noConversion"/>
  </si>
  <si>
    <t>豆皮</t>
    <phoneticPr fontId="3" type="noConversion"/>
  </si>
  <si>
    <t>藥膳排骨湯</t>
    <phoneticPr fontId="3" type="noConversion"/>
  </si>
  <si>
    <t>鮮蔬百頁</t>
  </si>
  <si>
    <t>百頁</t>
  </si>
  <si>
    <t>洋芋</t>
  </si>
  <si>
    <t>四季豆</t>
  </si>
  <si>
    <t>煮</t>
    <phoneticPr fontId="3" type="noConversion"/>
  </si>
  <si>
    <t>炒</t>
    <phoneticPr fontId="3" type="noConversion"/>
  </si>
  <si>
    <t>炸</t>
    <phoneticPr fontId="3" type="noConversion"/>
  </si>
  <si>
    <t>奶粉</t>
    <phoneticPr fontId="3" type="noConversion"/>
  </si>
  <si>
    <t>份</t>
    <phoneticPr fontId="3" type="noConversion"/>
  </si>
  <si>
    <t>滷</t>
    <phoneticPr fontId="3" type="noConversion"/>
  </si>
  <si>
    <t>玉筍花椰</t>
    <phoneticPr fontId="3" type="noConversion"/>
  </si>
  <si>
    <t>高農</t>
    <phoneticPr fontId="3" type="noConversion"/>
  </si>
  <si>
    <t>日式豬排</t>
    <phoneticPr fontId="3" type="noConversion"/>
  </si>
  <si>
    <t>椒鹽豬排</t>
    <phoneticPr fontId="3" type="noConversion"/>
  </si>
  <si>
    <t>豬排</t>
    <phoneticPr fontId="3" type="noConversion"/>
  </si>
  <si>
    <t>炒</t>
    <phoneticPr fontId="3" type="noConversion"/>
  </si>
  <si>
    <t>蜜汁雞腿</t>
    <phoneticPr fontId="3" type="noConversion"/>
  </si>
  <si>
    <t>咖哩肉丸</t>
    <phoneticPr fontId="3" type="noConversion"/>
  </si>
  <si>
    <t>蛋酥高麗菜</t>
    <phoneticPr fontId="3" type="noConversion"/>
  </si>
  <si>
    <t>滷蛋/螞蟻上樹</t>
    <phoneticPr fontId="3" type="noConversion"/>
  </si>
  <si>
    <t>運動飲料</t>
    <phoneticPr fontId="3" type="noConversion"/>
  </si>
  <si>
    <t>蜜汁雞腿</t>
    <phoneticPr fontId="3" type="noConversion"/>
  </si>
  <si>
    <t>雞腿</t>
    <phoneticPr fontId="3" type="noConversion"/>
  </si>
  <si>
    <t>咖哩肉丸</t>
    <phoneticPr fontId="3" type="noConversion"/>
  </si>
  <si>
    <t>洋芋</t>
    <phoneticPr fontId="3" type="noConversion"/>
  </si>
  <si>
    <t>豬肉</t>
    <phoneticPr fontId="3" type="noConversion"/>
  </si>
  <si>
    <t>洋蔥</t>
    <phoneticPr fontId="3" type="noConversion"/>
  </si>
  <si>
    <t>青豆仁</t>
    <phoneticPr fontId="3" type="noConversion"/>
  </si>
  <si>
    <t>高麗菜</t>
    <phoneticPr fontId="3" type="noConversion"/>
  </si>
  <si>
    <t>炒</t>
    <phoneticPr fontId="3" type="noConversion"/>
  </si>
  <si>
    <t>蛋液</t>
    <phoneticPr fontId="3" type="noConversion"/>
  </si>
  <si>
    <t>紅蘿蔔</t>
    <phoneticPr fontId="3" type="noConversion"/>
  </si>
  <si>
    <t>木耳</t>
    <phoneticPr fontId="3" type="noConversion"/>
  </si>
  <si>
    <t>香Q滷蛋</t>
    <phoneticPr fontId="3" type="noConversion"/>
  </si>
  <si>
    <t>滷</t>
    <phoneticPr fontId="3" type="noConversion"/>
  </si>
  <si>
    <t>白煮蛋</t>
    <phoneticPr fontId="3" type="noConversion"/>
  </si>
  <si>
    <t>螞蟻上樹</t>
    <phoneticPr fontId="3" type="noConversion"/>
  </si>
  <si>
    <t>豆芽</t>
    <phoneticPr fontId="3" type="noConversion"/>
  </si>
  <si>
    <t>豬肉</t>
    <phoneticPr fontId="3" type="noConversion"/>
  </si>
  <si>
    <t>冬粉(乾重)</t>
    <phoneticPr fontId="3" type="noConversion"/>
  </si>
  <si>
    <t>運動飲料</t>
    <phoneticPr fontId="3" type="noConversion"/>
  </si>
  <si>
    <t>200ml</t>
    <phoneticPr fontId="3" type="noConversion"/>
  </si>
  <si>
    <t>大陸妹</t>
    <phoneticPr fontId="3" type="noConversion"/>
  </si>
  <si>
    <t>大陸妹</t>
    <phoneticPr fontId="3" type="noConversion"/>
  </si>
  <si>
    <t>大陸妹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</si>
</sst>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m&quot;月&quot;d&quot;日&quot;"/>
    <numFmt numFmtId="177" formatCode="0.0_ "/>
    <numFmt numFmtId="178" formatCode="0.0"/>
    <numFmt numFmtId="179" formatCode="0.00_ "/>
  </numFmts>
  <fonts count="40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6"/>
      <name val="新細明體"/>
      <family val="1"/>
      <charset val="136"/>
    </font>
    <font>
      <sz val="9"/>
      <name val="新細明體"/>
      <family val="1"/>
      <charset val="136"/>
    </font>
    <font>
      <sz val="10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2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1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b/>
      <sz val="12"/>
      <color indexed="10"/>
      <name val="新細明體"/>
      <family val="1"/>
      <charset val="136"/>
    </font>
    <font>
      <b/>
      <sz val="12"/>
      <color theme="1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0"/>
      <color indexed="8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9"/>
      <name val="新細明體"/>
      <family val="1"/>
      <charset val="136"/>
    </font>
    <font>
      <sz val="28"/>
      <color indexed="18"/>
      <name val="華康布丁體"/>
      <family val="5"/>
      <charset val="136"/>
    </font>
    <font>
      <sz val="14"/>
      <name val="華康中圓體(P)"/>
      <family val="2"/>
      <charset val="136"/>
    </font>
    <font>
      <sz val="12"/>
      <color indexed="8"/>
      <name val="華康中圓體(P)"/>
      <family val="2"/>
      <charset val="136"/>
    </font>
    <font>
      <sz val="12"/>
      <name val="華康中圓體(P)"/>
      <family val="2"/>
      <charset val="136"/>
    </font>
    <font>
      <sz val="9"/>
      <name val="新細明體"/>
      <family val="2"/>
      <charset val="136"/>
      <scheme val="minor"/>
    </font>
    <font>
      <sz val="12"/>
      <color indexed="10"/>
      <name val="新細明體"/>
      <family val="1"/>
      <charset val="136"/>
      <scheme val="major"/>
    </font>
    <font>
      <sz val="9"/>
      <name val="新細明體"/>
      <family val="3"/>
      <charset val="136"/>
      <scheme val="minor"/>
    </font>
    <font>
      <sz val="14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14"/>
      <color theme="1"/>
      <name val="新細明體"/>
      <family val="1"/>
      <charset val="136"/>
    </font>
    <font>
      <sz val="26"/>
      <color rgb="FFFF0000"/>
      <name val="華康POP1體W7(P)"/>
      <family val="5"/>
      <charset val="136"/>
    </font>
    <font>
      <sz val="16"/>
      <color indexed="41"/>
      <name val="華康中圓體(P)"/>
      <family val="2"/>
      <charset val="136"/>
    </font>
    <font>
      <sz val="12"/>
      <color indexed="41"/>
      <name val="華康中圓體(P)"/>
      <family val="2"/>
      <charset val="136"/>
    </font>
    <font>
      <sz val="13"/>
      <color theme="0"/>
      <name val="華康中圓體(P)"/>
      <family val="2"/>
      <charset val="136"/>
    </font>
    <font>
      <sz val="6"/>
      <name val="華康中圓體(P)"/>
      <family val="2"/>
      <charset val="136"/>
    </font>
    <font>
      <sz val="18"/>
      <name val="華康娃娃體(P)"/>
      <family val="5"/>
      <charset val="136"/>
    </font>
    <font>
      <sz val="18"/>
      <color rgb="FF0000FF"/>
      <name val="華康娃娃體(P)"/>
      <family val="5"/>
      <charset val="136"/>
    </font>
    <font>
      <sz val="18"/>
      <color rgb="FF008000"/>
      <name val="華康娃娃體(P)"/>
      <family val="5"/>
      <charset val="136"/>
    </font>
    <font>
      <sz val="18"/>
      <color theme="5" tint="-0.249977111117893"/>
      <name val="華康娃娃體(P)"/>
      <family val="5"/>
      <charset val="136"/>
    </font>
    <font>
      <sz val="16"/>
      <color indexed="8"/>
      <name val="新細明體"/>
      <family val="1"/>
      <charset val="136"/>
    </font>
    <font>
      <sz val="12"/>
      <color theme="1"/>
      <name val="新細明體"/>
      <family val="2"/>
      <scheme val="minor"/>
    </font>
    <font>
      <b/>
      <sz val="12"/>
      <color rgb="FFFF0000"/>
      <name val="新細明體"/>
      <family val="1"/>
      <charset val="136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59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>
      <alignment vertical="center"/>
    </xf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38" fillId="0" borderId="0"/>
  </cellStyleXfs>
  <cellXfs count="328">
    <xf numFmtId="0" fontId="0" fillId="0" borderId="0" xfId="0">
      <alignment vertical="center"/>
    </xf>
    <xf numFmtId="0" fontId="0" fillId="0" borderId="2" xfId="0" applyFont="1" applyBorder="1" applyAlignment="1">
      <alignment vertical="center" textRotation="255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4" borderId="7" xfId="1" applyFont="1" applyFill="1" applyBorder="1" applyAlignment="1">
      <alignment horizontal="center" vertical="center"/>
    </xf>
    <xf numFmtId="177" fontId="1" fillId="0" borderId="8" xfId="1" applyNumberFormat="1" applyFont="1" applyFill="1" applyBorder="1" applyAlignment="1">
      <alignment horizontal="center" vertical="center"/>
    </xf>
    <xf numFmtId="0" fontId="1" fillId="0" borderId="9" xfId="1" applyFont="1" applyFill="1" applyBorder="1" applyAlignment="1">
      <alignment horizontal="center" vertical="center"/>
    </xf>
    <xf numFmtId="0" fontId="1" fillId="5" borderId="9" xfId="1" applyFont="1" applyFill="1" applyBorder="1" applyAlignment="1">
      <alignment horizontal="center" vertical="center"/>
    </xf>
    <xf numFmtId="0" fontId="1" fillId="0" borderId="8" xfId="1" applyFont="1" applyFill="1" applyBorder="1" applyAlignment="1">
      <alignment horizontal="center" vertical="center"/>
    </xf>
    <xf numFmtId="0" fontId="1" fillId="0" borderId="10" xfId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vertical="center" shrinkToFit="1"/>
    </xf>
    <xf numFmtId="0" fontId="0" fillId="0" borderId="15" xfId="0" applyFont="1" applyFill="1" applyBorder="1" applyAlignment="1">
      <alignment horizontal="center" vertical="center" shrinkToFit="1"/>
    </xf>
    <xf numFmtId="0" fontId="6" fillId="0" borderId="16" xfId="0" applyFont="1" applyFill="1" applyBorder="1" applyAlignment="1">
      <alignment vertical="center" shrinkToFit="1"/>
    </xf>
    <xf numFmtId="0" fontId="0" fillId="0" borderId="17" xfId="0" applyFont="1" applyBorder="1" applyAlignment="1">
      <alignment horizontal="center" vertical="center" shrinkToFit="1"/>
    </xf>
    <xf numFmtId="0" fontId="0" fillId="0" borderId="17" xfId="0" applyFont="1" applyFill="1" applyBorder="1" applyAlignment="1">
      <alignment horizontal="center" vertical="center" shrinkToFit="1"/>
    </xf>
    <xf numFmtId="0" fontId="6" fillId="0" borderId="16" xfId="1" applyFont="1" applyFill="1" applyBorder="1" applyAlignment="1">
      <alignment vertical="center" shrinkToFit="1"/>
    </xf>
    <xf numFmtId="0" fontId="1" fillId="0" borderId="17" xfId="1" applyFont="1" applyFill="1" applyBorder="1" applyAlignment="1">
      <alignment horizontal="center" vertical="center" shrinkToFit="1"/>
    </xf>
    <xf numFmtId="0" fontId="0" fillId="0" borderId="14" xfId="0" applyFont="1" applyBorder="1" applyAlignment="1">
      <alignment vertical="center" shrinkToFit="1"/>
    </xf>
    <xf numFmtId="178" fontId="4" fillId="0" borderId="13" xfId="0" applyNumberFormat="1" applyFont="1" applyBorder="1" applyAlignment="1">
      <alignment horizontal="right" vertical="center"/>
    </xf>
    <xf numFmtId="0" fontId="1" fillId="6" borderId="18" xfId="1" applyFont="1" applyFill="1" applyBorder="1" applyAlignment="1">
      <alignment horizontal="center" vertical="center"/>
    </xf>
    <xf numFmtId="179" fontId="1" fillId="0" borderId="19" xfId="1" applyNumberFormat="1" applyFont="1" applyFill="1" applyBorder="1" applyAlignment="1">
      <alignment horizontal="center" vertical="center"/>
    </xf>
    <xf numFmtId="0" fontId="1" fillId="0" borderId="20" xfId="1" applyFont="1" applyFill="1" applyBorder="1" applyAlignment="1">
      <alignment horizontal="center" vertical="center"/>
    </xf>
    <xf numFmtId="0" fontId="1" fillId="5" borderId="20" xfId="1" applyFont="1" applyFill="1" applyBorder="1" applyAlignment="1">
      <alignment horizontal="center" vertical="center"/>
    </xf>
    <xf numFmtId="178" fontId="1" fillId="0" borderId="21" xfId="1" applyNumberFormat="1" applyFont="1" applyFill="1" applyBorder="1" applyAlignment="1">
      <alignment horizontal="center" vertical="center"/>
    </xf>
    <xf numFmtId="9" fontId="1" fillId="0" borderId="22" xfId="2" applyNumberFormat="1" applyFont="1" applyFill="1" applyBorder="1" applyAlignment="1">
      <alignment horizontal="center" vertical="center"/>
    </xf>
    <xf numFmtId="0" fontId="1" fillId="4" borderId="23" xfId="1" applyFont="1" applyFill="1" applyBorder="1" applyAlignment="1">
      <alignment horizontal="center" vertical="center"/>
    </xf>
    <xf numFmtId="0" fontId="1" fillId="0" borderId="15" xfId="1" applyFont="1" applyFill="1" applyBorder="1" applyAlignment="1">
      <alignment horizontal="center" vertical="center" shrinkToFit="1"/>
    </xf>
    <xf numFmtId="0" fontId="5" fillId="0" borderId="14" xfId="0" applyFont="1" applyFill="1" applyBorder="1" applyAlignment="1">
      <alignment vertical="center" shrinkToFit="1"/>
    </xf>
    <xf numFmtId="0" fontId="5" fillId="0" borderId="15" xfId="0" applyFont="1" applyFill="1" applyBorder="1" applyAlignment="1">
      <alignment horizontal="center" vertical="center" shrinkToFit="1"/>
    </xf>
    <xf numFmtId="0" fontId="0" fillId="0" borderId="15" xfId="0" applyFont="1" applyBorder="1" applyAlignment="1">
      <alignment horizontal="center" vertical="center" shrinkToFit="1"/>
    </xf>
    <xf numFmtId="0" fontId="0" fillId="0" borderId="14" xfId="0" applyFill="1" applyBorder="1" applyAlignment="1">
      <alignment vertical="center" shrinkToFit="1"/>
    </xf>
    <xf numFmtId="0" fontId="0" fillId="0" borderId="15" xfId="0" applyFill="1" applyBorder="1" applyAlignment="1">
      <alignment horizontal="center" vertical="center" shrinkToFit="1"/>
    </xf>
    <xf numFmtId="0" fontId="4" fillId="0" borderId="13" xfId="0" applyFont="1" applyBorder="1">
      <alignment vertical="center"/>
    </xf>
    <xf numFmtId="0" fontId="1" fillId="7" borderId="18" xfId="1" applyFont="1" applyFill="1" applyBorder="1" applyAlignment="1">
      <alignment horizontal="center" vertical="center"/>
    </xf>
    <xf numFmtId="179" fontId="1" fillId="2" borderId="19" xfId="1" applyNumberFormat="1" applyFont="1" applyFill="1" applyBorder="1" applyAlignment="1">
      <alignment horizontal="center" vertical="center"/>
    </xf>
    <xf numFmtId="0" fontId="0" fillId="0" borderId="14" xfId="0" applyBorder="1" applyAlignment="1">
      <alignment vertical="center" shrinkToFit="1"/>
    </xf>
    <xf numFmtId="0" fontId="0" fillId="0" borderId="15" xfId="0" applyBorder="1" applyAlignment="1">
      <alignment horizontal="center" vertical="center" shrinkToFit="1"/>
    </xf>
    <xf numFmtId="0" fontId="0" fillId="0" borderId="14" xfId="0" applyFont="1" applyFill="1" applyBorder="1" applyAlignment="1">
      <alignment vertical="center" shrinkToFit="1"/>
    </xf>
    <xf numFmtId="0" fontId="0" fillId="0" borderId="0" xfId="0" applyBorder="1" applyAlignment="1">
      <alignment horizontal="left" vertical="center" shrinkToFit="1"/>
    </xf>
    <xf numFmtId="177" fontId="1" fillId="0" borderId="19" xfId="1" applyNumberFormat="1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0" xfId="0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5" fillId="0" borderId="14" xfId="0" applyFont="1" applyBorder="1" applyAlignment="1">
      <alignment vertical="center" shrinkToFit="1"/>
    </xf>
    <xf numFmtId="0" fontId="5" fillId="0" borderId="15" xfId="0" applyFont="1" applyBorder="1" applyAlignment="1">
      <alignment horizontal="center" vertical="center" shrinkToFit="1"/>
    </xf>
    <xf numFmtId="0" fontId="1" fillId="8" borderId="18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 vertical="center"/>
    </xf>
    <xf numFmtId="9" fontId="1" fillId="0" borderId="15" xfId="1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 shrinkToFit="1"/>
    </xf>
    <xf numFmtId="0" fontId="1" fillId="9" borderId="18" xfId="1" applyFont="1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0" borderId="15" xfId="0" applyFont="1" applyBorder="1">
      <alignment vertical="center"/>
    </xf>
    <xf numFmtId="0" fontId="0" fillId="0" borderId="15" xfId="0" applyBorder="1" applyAlignment="1">
      <alignment vertical="center"/>
    </xf>
    <xf numFmtId="0" fontId="5" fillId="0" borderId="0" xfId="0" applyFont="1" applyFill="1" applyBorder="1" applyAlignment="1">
      <alignment horizontal="center" vertical="center" shrinkToFit="1"/>
    </xf>
    <xf numFmtId="0" fontId="0" fillId="0" borderId="0" xfId="0" applyFont="1" applyBorder="1" applyAlignment="1">
      <alignment vertical="center" shrinkToFit="1"/>
    </xf>
    <xf numFmtId="0" fontId="1" fillId="0" borderId="24" xfId="1" applyFont="1" applyFill="1" applyBorder="1" applyAlignment="1">
      <alignment horizontal="center" vertical="center"/>
    </xf>
    <xf numFmtId="0" fontId="1" fillId="0" borderId="25" xfId="1" applyFont="1" applyFill="1" applyBorder="1" applyAlignment="1">
      <alignment horizontal="center" vertical="center"/>
    </xf>
    <xf numFmtId="0" fontId="1" fillId="0" borderId="26" xfId="1" applyFont="1" applyFill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27" xfId="0" applyFont="1" applyBorder="1">
      <alignment vertical="center"/>
    </xf>
    <xf numFmtId="177" fontId="1" fillId="0" borderId="28" xfId="1" applyNumberFormat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vertical="center" shrinkToFit="1"/>
    </xf>
    <xf numFmtId="0" fontId="6" fillId="0" borderId="16" xfId="0" applyFont="1" applyBorder="1" applyAlignment="1">
      <alignment vertical="center" shrinkToFit="1"/>
    </xf>
    <xf numFmtId="0" fontId="0" fillId="0" borderId="16" xfId="1" applyFont="1" applyFill="1" applyBorder="1" applyAlignment="1">
      <alignment vertical="center" shrinkToFit="1"/>
    </xf>
    <xf numFmtId="0" fontId="1" fillId="5" borderId="30" xfId="1" applyFont="1" applyFill="1" applyBorder="1" applyAlignment="1">
      <alignment horizontal="center" vertical="center"/>
    </xf>
    <xf numFmtId="0" fontId="1" fillId="0" borderId="19" xfId="1" applyFont="1" applyFill="1" applyBorder="1" applyAlignment="1">
      <alignment horizontal="center" vertical="center"/>
    </xf>
    <xf numFmtId="0" fontId="1" fillId="0" borderId="30" xfId="1" applyFont="1" applyFill="1" applyBorder="1" applyAlignment="1">
      <alignment horizontal="center" vertical="center"/>
    </xf>
    <xf numFmtId="0" fontId="1" fillId="0" borderId="31" xfId="1" applyFont="1" applyFill="1" applyBorder="1" applyAlignment="1">
      <alignment horizontal="center" vertical="center"/>
    </xf>
    <xf numFmtId="0" fontId="0" fillId="0" borderId="0" xfId="1" applyFont="1" applyFill="1" applyBorder="1" applyAlignment="1">
      <alignment vertical="center" shrinkToFit="1"/>
    </xf>
    <xf numFmtId="0" fontId="1" fillId="0" borderId="17" xfId="1" applyFont="1" applyBorder="1" applyAlignment="1">
      <alignment horizontal="center" vertical="center" shrinkToFit="1"/>
    </xf>
    <xf numFmtId="0" fontId="7" fillId="0" borderId="14" xfId="1" applyFont="1" applyFill="1" applyBorder="1" applyAlignment="1">
      <alignment vertical="center" shrinkToFit="1"/>
    </xf>
    <xf numFmtId="9" fontId="7" fillId="0" borderId="15" xfId="1" applyNumberFormat="1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vertical="center" shrinkToFit="1"/>
    </xf>
    <xf numFmtId="9" fontId="8" fillId="0" borderId="15" xfId="0" applyNumberFormat="1" applyFont="1" applyFill="1" applyBorder="1" applyAlignment="1">
      <alignment horizontal="center" vertical="center" shrinkToFit="1"/>
    </xf>
    <xf numFmtId="0" fontId="1" fillId="0" borderId="14" xfId="0" applyFont="1" applyFill="1" applyBorder="1" applyAlignment="1">
      <alignment vertical="center" shrinkToFit="1"/>
    </xf>
    <xf numFmtId="0" fontId="1" fillId="0" borderId="15" xfId="0" applyFont="1" applyFill="1" applyBorder="1" applyAlignment="1">
      <alignment horizontal="center" vertical="center" shrinkToFit="1"/>
    </xf>
    <xf numFmtId="0" fontId="6" fillId="0" borderId="14" xfId="0" applyFont="1" applyBorder="1" applyAlignment="1">
      <alignment vertical="center" shrinkToFit="1"/>
    </xf>
    <xf numFmtId="0" fontId="6" fillId="0" borderId="0" xfId="1" applyFont="1" applyFill="1" applyBorder="1" applyAlignment="1">
      <alignment vertical="center" shrinkToFit="1"/>
    </xf>
    <xf numFmtId="0" fontId="9" fillId="0" borderId="32" xfId="0" applyFont="1" applyFill="1" applyBorder="1" applyAlignment="1">
      <alignment vertical="center" shrinkToFit="1"/>
    </xf>
    <xf numFmtId="0" fontId="5" fillId="0" borderId="17" xfId="0" applyFont="1" applyFill="1" applyBorder="1" applyAlignment="1">
      <alignment horizontal="center" vertical="center" shrinkToFit="1"/>
    </xf>
    <xf numFmtId="0" fontId="1" fillId="0" borderId="16" xfId="0" applyFont="1" applyFill="1" applyBorder="1" applyAlignment="1">
      <alignment vertical="center" shrinkToFit="1"/>
    </xf>
    <xf numFmtId="0" fontId="1" fillId="0" borderId="17" xfId="0" applyFont="1" applyFill="1" applyBorder="1" applyAlignment="1">
      <alignment horizontal="center" vertical="center" shrinkToFit="1"/>
    </xf>
    <xf numFmtId="0" fontId="10" fillId="0" borderId="33" xfId="0" applyFont="1" applyFill="1" applyBorder="1" applyAlignment="1">
      <alignment vertical="center"/>
    </xf>
    <xf numFmtId="0" fontId="7" fillId="0" borderId="14" xfId="0" applyFont="1" applyBorder="1" applyAlignment="1">
      <alignment vertical="center" shrinkToFit="1"/>
    </xf>
    <xf numFmtId="9" fontId="7" fillId="0" borderId="15" xfId="0" applyNumberFormat="1" applyFont="1" applyBorder="1" applyAlignment="1">
      <alignment horizontal="center" vertical="center" shrinkToFit="1"/>
    </xf>
    <xf numFmtId="0" fontId="5" fillId="0" borderId="0" xfId="0" applyFont="1" applyFill="1" applyBorder="1" applyAlignment="1">
      <alignment vertical="center" shrinkToFit="1"/>
    </xf>
    <xf numFmtId="0" fontId="0" fillId="0" borderId="0" xfId="0" applyFont="1" applyFill="1" applyBorder="1" applyAlignment="1">
      <alignment vertical="center" shrinkToFit="1"/>
    </xf>
    <xf numFmtId="0" fontId="0" fillId="7" borderId="18" xfId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8" fillId="0" borderId="14" xfId="0" applyFont="1" applyFill="1" applyBorder="1" applyAlignment="1">
      <alignment vertical="center" shrinkToFit="1"/>
    </xf>
    <xf numFmtId="0" fontId="8" fillId="0" borderId="15" xfId="0" applyFont="1" applyBorder="1" applyAlignment="1">
      <alignment horizontal="center" vertical="center" shrinkToFit="1"/>
    </xf>
    <xf numFmtId="0" fontId="8" fillId="0" borderId="14" xfId="0" applyFont="1" applyBorder="1" applyAlignment="1">
      <alignment vertical="center" shrinkToFit="1"/>
    </xf>
    <xf numFmtId="0" fontId="1" fillId="0" borderId="14" xfId="0" applyFont="1" applyBorder="1" applyAlignment="1">
      <alignment vertical="center" shrinkToFit="1"/>
    </xf>
    <xf numFmtId="0" fontId="1" fillId="0" borderId="15" xfId="0" applyFont="1" applyBorder="1" applyAlignment="1">
      <alignment horizontal="center" vertical="center" shrinkToFit="1"/>
    </xf>
    <xf numFmtId="0" fontId="9" fillId="0" borderId="16" xfId="0" applyFont="1" applyFill="1" applyBorder="1" applyAlignment="1">
      <alignment vertical="center" shrinkToFit="1"/>
    </xf>
    <xf numFmtId="0" fontId="6" fillId="0" borderId="32" xfId="0" applyFont="1" applyFill="1" applyBorder="1" applyAlignment="1">
      <alignment vertical="center" shrinkToFit="1"/>
    </xf>
    <xf numFmtId="0" fontId="0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9" fontId="8" fillId="0" borderId="15" xfId="0" applyNumberFormat="1" applyFont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6" fillId="0" borderId="0" xfId="0" applyFont="1" applyBorder="1" applyAlignment="1">
      <alignment vertical="center" shrinkToFit="1"/>
    </xf>
    <xf numFmtId="0" fontId="0" fillId="0" borderId="16" xfId="0" applyFont="1" applyBorder="1" applyAlignment="1">
      <alignment vertical="center" shrinkToFit="1"/>
    </xf>
    <xf numFmtId="0" fontId="4" fillId="0" borderId="15" xfId="0" applyFont="1" applyBorder="1" applyAlignment="1">
      <alignment horizontal="center" vertical="center" shrinkToFit="1"/>
    </xf>
    <xf numFmtId="0" fontId="0" fillId="0" borderId="14" xfId="3" applyFont="1" applyFill="1" applyBorder="1" applyAlignment="1">
      <alignment vertical="center" shrinkToFit="1"/>
    </xf>
    <xf numFmtId="0" fontId="11" fillId="0" borderId="0" xfId="1" applyFont="1" applyFill="1" applyBorder="1" applyAlignment="1">
      <alignment vertical="center" shrinkToFit="1"/>
    </xf>
    <xf numFmtId="0" fontId="11" fillId="0" borderId="15" xfId="0" applyFont="1" applyBorder="1" applyAlignment="1">
      <alignment horizontal="center" vertical="center" shrinkToFit="1"/>
    </xf>
    <xf numFmtId="0" fontId="0" fillId="0" borderId="2" xfId="0" applyBorder="1" applyAlignment="1">
      <alignment vertical="center" textRotation="255"/>
    </xf>
    <xf numFmtId="0" fontId="6" fillId="0" borderId="16" xfId="4" applyFont="1" applyBorder="1" applyAlignment="1">
      <alignment horizontal="left" vertical="center" shrinkToFit="1"/>
    </xf>
    <xf numFmtId="0" fontId="9" fillId="0" borderId="14" xfId="0" applyFont="1" applyFill="1" applyBorder="1" applyAlignment="1">
      <alignment vertical="center" shrinkToFit="1"/>
    </xf>
    <xf numFmtId="0" fontId="13" fillId="0" borderId="14" xfId="0" applyFont="1" applyBorder="1" applyAlignment="1">
      <alignment vertical="center" shrinkToFit="1"/>
    </xf>
    <xf numFmtId="0" fontId="14" fillId="0" borderId="15" xfId="0" applyFont="1" applyBorder="1" applyAlignment="1">
      <alignment horizontal="center" vertical="center" shrinkToFit="1"/>
    </xf>
    <xf numFmtId="0" fontId="6" fillId="0" borderId="34" xfId="4" applyFont="1" applyBorder="1" applyAlignment="1">
      <alignment horizontal="left" vertical="center" shrinkToFit="1"/>
    </xf>
    <xf numFmtId="0" fontId="0" fillId="0" borderId="16" xfId="0" applyFill="1" applyBorder="1" applyAlignment="1">
      <alignment vertical="center" shrinkToFit="1"/>
    </xf>
    <xf numFmtId="0" fontId="0" fillId="0" borderId="14" xfId="4" applyFont="1" applyBorder="1" applyAlignment="1">
      <alignment horizontal="left" vertical="center" shrinkToFit="1"/>
    </xf>
    <xf numFmtId="0" fontId="1" fillId="0" borderId="15" xfId="4" applyFont="1" applyBorder="1" applyAlignment="1">
      <alignment horizontal="center" vertical="center" shrinkToFit="1"/>
    </xf>
    <xf numFmtId="0" fontId="14" fillId="0" borderId="14" xfId="0" applyFont="1" applyBorder="1" applyAlignment="1">
      <alignment vertical="center" shrinkToFit="1"/>
    </xf>
    <xf numFmtId="0" fontId="1" fillId="0" borderId="34" xfId="4" applyFont="1" applyBorder="1" applyAlignment="1">
      <alignment horizontal="left" vertical="center" shrinkToFit="1"/>
    </xf>
    <xf numFmtId="0" fontId="0" fillId="0" borderId="0" xfId="0" applyAlignment="1">
      <alignment vertical="center"/>
    </xf>
    <xf numFmtId="0" fontId="14" fillId="0" borderId="15" xfId="0" applyFont="1" applyFill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0" fillId="0" borderId="16" xfId="0" applyBorder="1" applyAlignment="1">
      <alignment vertical="center" shrinkToFit="1"/>
    </xf>
    <xf numFmtId="0" fontId="5" fillId="0" borderId="14" xfId="0" applyFont="1" applyBorder="1" applyAlignment="1">
      <alignment vertical="center" wrapText="1" shrinkToFit="1"/>
    </xf>
    <xf numFmtId="0" fontId="5" fillId="0" borderId="15" xfId="0" applyFont="1" applyFill="1" applyBorder="1" applyAlignment="1">
      <alignment vertical="center" shrinkToFit="1"/>
    </xf>
    <xf numFmtId="0" fontId="5" fillId="0" borderId="0" xfId="0" applyFont="1" applyBorder="1" applyAlignment="1">
      <alignment vertical="center" shrinkToFit="1"/>
    </xf>
    <xf numFmtId="0" fontId="15" fillId="0" borderId="15" xfId="0" applyFont="1" applyBorder="1" applyAlignment="1">
      <alignment horizontal="center" vertical="center" shrinkToFit="1"/>
    </xf>
    <xf numFmtId="0" fontId="9" fillId="0" borderId="14" xfId="0" applyFont="1" applyBorder="1" applyAlignment="1">
      <alignment vertical="center" shrinkToFit="1"/>
    </xf>
    <xf numFmtId="0" fontId="0" fillId="0" borderId="32" xfId="1" applyFont="1" applyFill="1" applyBorder="1" applyAlignment="1">
      <alignment vertical="center" shrinkToFit="1"/>
    </xf>
    <xf numFmtId="0" fontId="0" fillId="0" borderId="14" xfId="1" applyFont="1" applyBorder="1" applyAlignment="1">
      <alignment vertical="center" shrinkToFit="1"/>
    </xf>
    <xf numFmtId="0" fontId="0" fillId="0" borderId="15" xfId="1" applyFont="1" applyBorder="1" applyAlignment="1">
      <alignment horizontal="center" vertical="center" shrinkToFit="1"/>
    </xf>
    <xf numFmtId="0" fontId="0" fillId="0" borderId="0" xfId="1" applyFont="1" applyFill="1" applyBorder="1" applyAlignment="1">
      <alignment shrinkToFit="1"/>
    </xf>
    <xf numFmtId="0" fontId="13" fillId="0" borderId="16" xfId="0" applyFont="1" applyFill="1" applyBorder="1" applyAlignment="1">
      <alignment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4" fillId="0" borderId="14" xfId="0" applyFont="1" applyFill="1" applyBorder="1" applyAlignment="1">
      <alignment vertical="center" shrinkToFit="1"/>
    </xf>
    <xf numFmtId="0" fontId="14" fillId="0" borderId="0" xfId="0" applyFont="1" applyFill="1" applyBorder="1" applyAlignment="1">
      <alignment vertical="center" shrinkToFit="1"/>
    </xf>
    <xf numFmtId="0" fontId="1" fillId="0" borderId="0" xfId="1" applyFont="1" applyFill="1" applyBorder="1" applyAlignment="1">
      <alignment vertical="center" shrinkToFit="1"/>
    </xf>
    <xf numFmtId="0" fontId="6" fillId="0" borderId="0" xfId="1" applyFont="1" applyFill="1" applyBorder="1" applyAlignment="1">
      <alignment shrinkToFit="1"/>
    </xf>
    <xf numFmtId="0" fontId="8" fillId="0" borderId="0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vertical="center" shrinkToFit="1"/>
    </xf>
    <xf numFmtId="0" fontId="0" fillId="0" borderId="14" xfId="1" applyFont="1" applyFill="1" applyBorder="1" applyAlignment="1">
      <alignment horizontal="left" vertical="center" shrinkToFit="1"/>
    </xf>
    <xf numFmtId="0" fontId="0" fillId="0" borderId="15" xfId="0" applyBorder="1">
      <alignment vertical="center"/>
    </xf>
    <xf numFmtId="0" fontId="17" fillId="0" borderId="14" xfId="0" applyFont="1" applyFill="1" applyBorder="1" applyAlignment="1">
      <alignment vertical="center" shrinkToFit="1"/>
    </xf>
    <xf numFmtId="0" fontId="0" fillId="0" borderId="0" xfId="0" applyFont="1" applyAlignment="1">
      <alignment horizontal="center" vertical="center"/>
    </xf>
    <xf numFmtId="0" fontId="14" fillId="0" borderId="0" xfId="0" applyFont="1" applyBorder="1" applyAlignment="1">
      <alignment vertical="center" shrinkToFit="1"/>
    </xf>
    <xf numFmtId="0" fontId="16" fillId="0" borderId="14" xfId="0" applyFont="1" applyBorder="1" applyAlignment="1">
      <alignment vertical="center" shrinkToFit="1"/>
    </xf>
    <xf numFmtId="0" fontId="0" fillId="0" borderId="15" xfId="1" applyFont="1" applyFill="1" applyBorder="1" applyAlignment="1">
      <alignment horizontal="center" vertical="center" shrinkToFit="1"/>
    </xf>
    <xf numFmtId="0" fontId="8" fillId="0" borderId="14" xfId="1" applyFont="1" applyFill="1" applyBorder="1" applyAlignment="1">
      <alignment vertical="center" shrinkToFit="1"/>
    </xf>
    <xf numFmtId="0" fontId="0" fillId="0" borderId="14" xfId="3" applyFont="1" applyBorder="1" applyAlignment="1">
      <alignment vertical="center" shrinkToFit="1"/>
    </xf>
    <xf numFmtId="0" fontId="1" fillId="0" borderId="15" xfId="3" applyFont="1" applyBorder="1" applyAlignment="1">
      <alignment horizontal="center" vertical="center" shrinkToFit="1"/>
    </xf>
    <xf numFmtId="0" fontId="8" fillId="0" borderId="0" xfId="0" applyFont="1" applyBorder="1" applyAlignment="1">
      <alignment vertical="center" shrinkToFit="1"/>
    </xf>
    <xf numFmtId="0" fontId="14" fillId="0" borderId="16" xfId="0" applyFont="1" applyFill="1" applyBorder="1" applyAlignment="1">
      <alignment vertical="center" shrinkToFit="1"/>
    </xf>
    <xf numFmtId="0" fontId="0" fillId="0" borderId="16" xfId="0" applyFont="1" applyFill="1" applyBorder="1" applyAlignment="1">
      <alignment vertical="center" shrinkToFit="1"/>
    </xf>
    <xf numFmtId="0" fontId="1" fillId="0" borderId="32" xfId="0" applyFont="1" applyFill="1" applyBorder="1" applyAlignment="1">
      <alignment vertical="center" shrinkToFit="1"/>
    </xf>
    <xf numFmtId="0" fontId="0" fillId="0" borderId="15" xfId="0" applyFill="1" applyBorder="1" applyAlignment="1">
      <alignment vertical="center" shrinkToFit="1"/>
    </xf>
    <xf numFmtId="0" fontId="5" fillId="0" borderId="32" xfId="0" applyFont="1" applyFill="1" applyBorder="1" applyAlignment="1">
      <alignment vertical="center" shrinkToFit="1"/>
    </xf>
    <xf numFmtId="0" fontId="0" fillId="0" borderId="0" xfId="0" applyAlignment="1">
      <alignment vertical="center" textRotation="255"/>
    </xf>
    <xf numFmtId="0" fontId="21" fillId="0" borderId="0" xfId="0" applyFont="1">
      <alignment vertical="center"/>
    </xf>
    <xf numFmtId="0" fontId="19" fillId="0" borderId="0" xfId="0" applyFont="1">
      <alignment vertical="center"/>
    </xf>
    <xf numFmtId="0" fontId="11" fillId="0" borderId="14" xfId="1" applyFont="1" applyFill="1" applyBorder="1" applyAlignment="1">
      <alignment vertical="center" shrinkToFit="1"/>
    </xf>
    <xf numFmtId="0" fontId="6" fillId="0" borderId="15" xfId="0" applyFont="1" applyFill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7" xfId="0" applyFont="1" applyFill="1" applyBorder="1" applyAlignment="1">
      <alignment horizontal="center" vertical="center" shrinkToFit="1"/>
    </xf>
    <xf numFmtId="0" fontId="6" fillId="0" borderId="15" xfId="1" applyFont="1" applyFill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6" fillId="0" borderId="17" xfId="1" applyFont="1" applyBorder="1" applyAlignment="1">
      <alignment horizontal="center" vertical="center" shrinkToFit="1"/>
    </xf>
    <xf numFmtId="177" fontId="0" fillId="0" borderId="19" xfId="1" applyNumberFormat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 shrinkToFit="1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1" fillId="0" borderId="15" xfId="6" applyFont="1" applyFill="1" applyBorder="1" applyAlignment="1">
      <alignment horizontal="center" vertical="center" shrinkToFit="1"/>
    </xf>
    <xf numFmtId="0" fontId="1" fillId="0" borderId="15" xfId="6" applyFont="1" applyBorder="1" applyAlignment="1">
      <alignment horizontal="center" vertical="center" shrinkToFit="1"/>
    </xf>
    <xf numFmtId="0" fontId="1" fillId="0" borderId="14" xfId="6" applyFont="1" applyFill="1" applyBorder="1" applyAlignment="1">
      <alignment vertical="center" shrinkToFit="1"/>
    </xf>
    <xf numFmtId="0" fontId="0" fillId="0" borderId="14" xfId="6" applyFont="1" applyFill="1" applyBorder="1" applyAlignment="1">
      <alignment vertical="center" shrinkToFit="1"/>
    </xf>
    <xf numFmtId="0" fontId="6" fillId="0" borderId="17" xfId="1" applyFont="1" applyFill="1" applyBorder="1" applyAlignment="1">
      <alignment horizontal="center" vertical="center" shrinkToFit="1"/>
    </xf>
    <xf numFmtId="0" fontId="9" fillId="0" borderId="15" xfId="0" applyFont="1" applyFill="1" applyBorder="1" applyAlignment="1">
      <alignment horizontal="center" vertical="center" shrinkToFit="1"/>
    </xf>
    <xf numFmtId="0" fontId="13" fillId="0" borderId="15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/>
    </xf>
    <xf numFmtId="0" fontId="0" fillId="12" borderId="0" xfId="0" applyFill="1">
      <alignment vertical="center"/>
    </xf>
    <xf numFmtId="0" fontId="0" fillId="0" borderId="32" xfId="0" applyBorder="1" applyAlignment="1">
      <alignment vertical="center"/>
    </xf>
    <xf numFmtId="0" fontId="9" fillId="0" borderId="15" xfId="0" applyFont="1" applyBorder="1" applyAlignment="1">
      <alignment horizontal="center" vertical="center" shrinkToFit="1"/>
    </xf>
    <xf numFmtId="0" fontId="6" fillId="0" borderId="32" xfId="1" applyFont="1" applyFill="1" applyBorder="1" applyAlignment="1">
      <alignment vertical="center" shrinkToFit="1"/>
    </xf>
    <xf numFmtId="0" fontId="12" fillId="13" borderId="0" xfId="0" applyFont="1" applyFill="1" applyAlignment="1">
      <alignment horizontal="left" vertical="center" wrapText="1"/>
    </xf>
    <xf numFmtId="0" fontId="0" fillId="14" borderId="32" xfId="0" applyFill="1" applyBorder="1" applyAlignment="1">
      <alignment vertical="center"/>
    </xf>
    <xf numFmtId="0" fontId="0" fillId="0" borderId="14" xfId="6" applyFont="1" applyBorder="1" applyAlignment="1">
      <alignment vertical="center" shrinkToFit="1"/>
    </xf>
    <xf numFmtId="0" fontId="13" fillId="0" borderId="17" xfId="0" applyFont="1" applyFill="1" applyBorder="1" applyAlignment="1">
      <alignment horizontal="center" vertical="center" shrinkToFit="1"/>
    </xf>
    <xf numFmtId="0" fontId="13" fillId="0" borderId="17" xfId="0" applyFont="1" applyBorder="1" applyAlignment="1">
      <alignment horizontal="center" vertical="center" shrinkToFit="1"/>
    </xf>
    <xf numFmtId="0" fontId="6" fillId="0" borderId="17" xfId="4" applyFont="1" applyBorder="1" applyAlignment="1">
      <alignment horizontal="center" vertical="center" shrinkToFit="1"/>
    </xf>
    <xf numFmtId="0" fontId="9" fillId="0" borderId="32" xfId="0" applyFont="1" applyFill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/>
    </xf>
    <xf numFmtId="0" fontId="8" fillId="13" borderId="0" xfId="0" applyFont="1" applyFill="1" applyAlignment="1">
      <alignment horizontal="left" vertical="center" wrapText="1"/>
    </xf>
    <xf numFmtId="0" fontId="0" fillId="0" borderId="0" xfId="0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4" fillId="0" borderId="3" xfId="0" applyFont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center" vertical="center" shrinkToFit="1"/>
    </xf>
    <xf numFmtId="9" fontId="4" fillId="0" borderId="15" xfId="0" applyNumberFormat="1" applyFont="1" applyBorder="1" applyAlignment="1">
      <alignment horizontal="center" vertical="center" shrinkToFit="1"/>
    </xf>
    <xf numFmtId="0" fontId="4" fillId="0" borderId="15" xfId="0" applyFont="1" applyFill="1" applyBorder="1" applyAlignment="1">
      <alignment horizontal="center" vertical="center" shrinkToFit="1"/>
    </xf>
    <xf numFmtId="0" fontId="0" fillId="16" borderId="14" xfId="0" applyFont="1" applyFill="1" applyBorder="1" applyAlignment="1">
      <alignment vertical="center" shrinkToFit="1"/>
    </xf>
    <xf numFmtId="0" fontId="0" fillId="16" borderId="32" xfId="0" applyFill="1" applyBorder="1" applyAlignment="1">
      <alignment vertical="center"/>
    </xf>
    <xf numFmtId="0" fontId="6" fillId="16" borderId="32" xfId="0" applyFont="1" applyFill="1" applyBorder="1" applyAlignment="1">
      <alignment vertical="center"/>
    </xf>
    <xf numFmtId="0" fontId="6" fillId="16" borderId="14" xfId="0" applyFont="1" applyFill="1" applyBorder="1" applyAlignment="1">
      <alignment vertical="center" shrinkToFit="1"/>
    </xf>
    <xf numFmtId="0" fontId="4" fillId="0" borderId="0" xfId="0" applyFont="1" applyBorder="1" applyAlignment="1">
      <alignment horizontal="center" vertical="center" shrinkToFit="1"/>
    </xf>
    <xf numFmtId="0" fontId="0" fillId="17" borderId="32" xfId="0" applyFill="1" applyBorder="1" applyAlignment="1">
      <alignment vertical="center"/>
    </xf>
    <xf numFmtId="0" fontId="25" fillId="0" borderId="6" xfId="0" applyFont="1" applyBorder="1">
      <alignment vertical="center"/>
    </xf>
    <xf numFmtId="0" fontId="25" fillId="0" borderId="0" xfId="0" applyFont="1">
      <alignment vertical="center"/>
    </xf>
    <xf numFmtId="0" fontId="30" fillId="10" borderId="2" xfId="0" applyNumberFormat="1" applyFont="1" applyFill="1" applyBorder="1" applyAlignment="1">
      <alignment vertical="center"/>
    </xf>
    <xf numFmtId="177" fontId="32" fillId="15" borderId="44" xfId="0" applyNumberFormat="1" applyFont="1" applyFill="1" applyBorder="1" applyAlignment="1">
      <alignment horizontal="left" vertical="center" shrinkToFit="1"/>
    </xf>
    <xf numFmtId="177" fontId="32" fillId="15" borderId="40" xfId="0" applyNumberFormat="1" applyFont="1" applyFill="1" applyBorder="1" applyAlignment="1">
      <alignment horizontal="center" vertical="center" shrinkToFit="1"/>
    </xf>
    <xf numFmtId="0" fontId="32" fillId="0" borderId="0" xfId="0" applyFont="1">
      <alignment vertical="center"/>
    </xf>
    <xf numFmtId="177" fontId="32" fillId="15" borderId="14" xfId="0" applyNumberFormat="1" applyFont="1" applyFill="1" applyBorder="1" applyAlignment="1">
      <alignment horizontal="left" vertical="center" shrinkToFit="1"/>
    </xf>
    <xf numFmtId="177" fontId="32" fillId="15" borderId="45" xfId="0" applyNumberFormat="1" applyFont="1" applyFill="1" applyBorder="1" applyAlignment="1">
      <alignment horizontal="center" vertical="center" shrinkToFit="1"/>
    </xf>
    <xf numFmtId="177" fontId="32" fillId="15" borderId="0" xfId="0" applyNumberFormat="1" applyFont="1" applyFill="1" applyBorder="1" applyAlignment="1">
      <alignment horizontal="left" vertical="center" shrinkToFit="1"/>
    </xf>
    <xf numFmtId="177" fontId="32" fillId="15" borderId="15" xfId="0" applyNumberFormat="1" applyFont="1" applyFill="1" applyBorder="1" applyAlignment="1">
      <alignment horizontal="center" vertical="center" shrinkToFit="1"/>
    </xf>
    <xf numFmtId="177" fontId="32" fillId="15" borderId="46" xfId="0" applyNumberFormat="1" applyFont="1" applyFill="1" applyBorder="1" applyAlignment="1">
      <alignment horizontal="center" vertical="center" shrinkToFit="1"/>
    </xf>
    <xf numFmtId="177" fontId="32" fillId="15" borderId="41" xfId="0" applyNumberFormat="1" applyFont="1" applyFill="1" applyBorder="1" applyAlignment="1">
      <alignment horizontal="left" vertical="center" shrinkToFit="1"/>
    </xf>
    <xf numFmtId="177" fontId="32" fillId="15" borderId="20" xfId="0" applyNumberFormat="1" applyFont="1" applyFill="1" applyBorder="1" applyAlignment="1">
      <alignment horizontal="center" vertical="center" shrinkToFit="1"/>
    </xf>
    <xf numFmtId="177" fontId="32" fillId="15" borderId="29" xfId="0" applyNumberFormat="1" applyFont="1" applyFill="1" applyBorder="1" applyAlignment="1">
      <alignment horizontal="left" vertical="center" shrinkToFit="1"/>
    </xf>
    <xf numFmtId="0" fontId="0" fillId="0" borderId="17" xfId="0" applyFill="1" applyBorder="1" applyAlignment="1">
      <alignment horizontal="center" vertical="center" shrinkToFit="1"/>
    </xf>
    <xf numFmtId="0" fontId="0" fillId="0" borderId="0" xfId="0" applyFill="1" applyBorder="1" applyAlignment="1">
      <alignment vertical="center"/>
    </xf>
    <xf numFmtId="0" fontId="0" fillId="0" borderId="14" xfId="0" applyFont="1" applyFill="1" applyBorder="1" applyAlignment="1">
      <alignment vertical="center"/>
    </xf>
    <xf numFmtId="0" fontId="0" fillId="0" borderId="20" xfId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vertical="center" shrinkToFit="1"/>
    </xf>
    <xf numFmtId="0" fontId="0" fillId="0" borderId="15" xfId="0" applyFont="1" applyFill="1" applyBorder="1" applyAlignment="1">
      <alignment horizontal="center" vertical="center" shrinkToFit="1"/>
    </xf>
    <xf numFmtId="0" fontId="0" fillId="0" borderId="14" xfId="0" applyFill="1" applyBorder="1" applyAlignment="1">
      <alignment vertical="center" shrinkToFit="1"/>
    </xf>
    <xf numFmtId="0" fontId="0" fillId="0" borderId="14" xfId="0" applyBorder="1" applyAlignment="1">
      <alignment vertical="center" shrinkToFit="1"/>
    </xf>
    <xf numFmtId="0" fontId="0" fillId="0" borderId="15" xfId="0" applyBorder="1" applyAlignment="1">
      <alignment horizontal="center" vertical="center" shrinkToFit="1"/>
    </xf>
    <xf numFmtId="0" fontId="0" fillId="0" borderId="14" xfId="0" applyFont="1" applyFill="1" applyBorder="1" applyAlignment="1">
      <alignment vertical="center" shrinkToFit="1"/>
    </xf>
    <xf numFmtId="0" fontId="5" fillId="0" borderId="14" xfId="0" applyFont="1" applyBorder="1" applyAlignment="1">
      <alignment vertical="center" shrinkToFit="1"/>
    </xf>
    <xf numFmtId="0" fontId="5" fillId="0" borderId="15" xfId="0" applyFont="1" applyBorder="1" applyAlignment="1">
      <alignment horizontal="center" vertical="center" shrinkToFit="1"/>
    </xf>
    <xf numFmtId="0" fontId="1" fillId="0" borderId="14" xfId="0" applyFont="1" applyFill="1" applyBorder="1" applyAlignment="1">
      <alignment vertical="center" shrinkToFit="1"/>
    </xf>
    <xf numFmtId="0" fontId="4" fillId="0" borderId="15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0" fillId="0" borderId="14" xfId="0" applyBorder="1">
      <alignment vertical="center"/>
    </xf>
    <xf numFmtId="0" fontId="9" fillId="0" borderId="16" xfId="0" applyFont="1" applyBorder="1" applyAlignment="1">
      <alignment vertical="center" shrinkToFit="1"/>
    </xf>
    <xf numFmtId="0" fontId="4" fillId="0" borderId="15" xfId="0" applyFont="1" applyBorder="1" applyAlignment="1">
      <alignment horizontal="center" vertical="center"/>
    </xf>
    <xf numFmtId="0" fontId="0" fillId="12" borderId="0" xfId="0" applyFill="1">
      <alignment vertical="center"/>
    </xf>
    <xf numFmtId="0" fontId="9" fillId="0" borderId="17" xfId="0" applyFont="1" applyBorder="1" applyAlignment="1">
      <alignment horizontal="center" vertical="center" shrinkToFit="1"/>
    </xf>
    <xf numFmtId="0" fontId="39" fillId="0" borderId="16" xfId="0" applyFont="1" applyBorder="1" applyAlignment="1">
      <alignment vertical="center" shrinkToFit="1"/>
    </xf>
    <xf numFmtId="0" fontId="39" fillId="0" borderId="16" xfId="1" applyFont="1" applyFill="1" applyBorder="1" applyAlignment="1">
      <alignment vertical="center" shrinkToFit="1"/>
    </xf>
    <xf numFmtId="0" fontId="39" fillId="0" borderId="14" xfId="1" applyFont="1" applyFill="1" applyBorder="1" applyAlignment="1">
      <alignment vertical="center" shrinkToFit="1"/>
    </xf>
    <xf numFmtId="0" fontId="35" fillId="0" borderId="14" xfId="5" applyFont="1" applyFill="1" applyBorder="1" applyAlignment="1">
      <alignment horizontal="center" vertical="center" shrinkToFit="1"/>
    </xf>
    <xf numFmtId="0" fontId="35" fillId="0" borderId="0" xfId="5" applyFont="1" applyFill="1" applyBorder="1" applyAlignment="1">
      <alignment horizontal="center" vertical="center" shrinkToFit="1"/>
    </xf>
    <xf numFmtId="0" fontId="35" fillId="0" borderId="15" xfId="5" applyFont="1" applyFill="1" applyBorder="1" applyAlignment="1">
      <alignment horizontal="center" vertical="center" shrinkToFit="1"/>
    </xf>
    <xf numFmtId="0" fontId="36" fillId="0" borderId="39" xfId="5" applyFont="1" applyFill="1" applyBorder="1" applyAlignment="1">
      <alignment horizontal="center" vertical="center" shrinkToFit="1"/>
    </xf>
    <xf numFmtId="0" fontId="36" fillId="0" borderId="44" xfId="5" applyFont="1" applyFill="1" applyBorder="1" applyAlignment="1">
      <alignment horizontal="center" vertical="center" shrinkToFit="1"/>
    </xf>
    <xf numFmtId="0" fontId="36" fillId="0" borderId="40" xfId="5" applyFont="1" applyFill="1" applyBorder="1" applyAlignment="1">
      <alignment horizontal="center" vertical="center" shrinkToFit="1"/>
    </xf>
    <xf numFmtId="0" fontId="31" fillId="18" borderId="29" xfId="0" applyFont="1" applyFill="1" applyBorder="1" applyAlignment="1">
      <alignment horizontal="center" vertical="center" shrinkToFit="1"/>
    </xf>
    <xf numFmtId="0" fontId="31" fillId="18" borderId="1" xfId="0" applyFont="1" applyFill="1" applyBorder="1" applyAlignment="1">
      <alignment horizontal="center" vertical="center" shrinkToFit="1"/>
    </xf>
    <xf numFmtId="0" fontId="31" fillId="18" borderId="27" xfId="0" applyFont="1" applyFill="1" applyBorder="1" applyAlignment="1">
      <alignment horizontal="center" vertical="center" shrinkToFit="1"/>
    </xf>
    <xf numFmtId="0" fontId="30" fillId="10" borderId="4" xfId="0" applyNumberFormat="1" applyFont="1" applyFill="1" applyBorder="1" applyAlignment="1">
      <alignment horizontal="left" vertical="center"/>
    </xf>
    <xf numFmtId="0" fontId="29" fillId="10" borderId="4" xfId="0" applyNumberFormat="1" applyFont="1" applyFill="1" applyBorder="1" applyAlignment="1">
      <alignment horizontal="left" vertical="center"/>
    </xf>
    <xf numFmtId="0" fontId="29" fillId="10" borderId="5" xfId="0" applyNumberFormat="1" applyFont="1" applyFill="1" applyBorder="1" applyAlignment="1">
      <alignment horizontal="left" vertical="center"/>
    </xf>
    <xf numFmtId="0" fontId="28" fillId="0" borderId="14" xfId="5" applyFont="1" applyFill="1" applyBorder="1" applyAlignment="1">
      <alignment horizontal="center" vertical="center" shrinkToFit="1"/>
    </xf>
    <xf numFmtId="0" fontId="28" fillId="0" borderId="0" xfId="5" applyFont="1" applyFill="1" applyBorder="1" applyAlignment="1">
      <alignment horizontal="center" vertical="center" shrinkToFit="1"/>
    </xf>
    <xf numFmtId="0" fontId="28" fillId="0" borderId="15" xfId="5" applyFont="1" applyFill="1" applyBorder="1" applyAlignment="1">
      <alignment horizontal="center" vertical="center" shrinkToFit="1"/>
    </xf>
    <xf numFmtId="0" fontId="34" fillId="0" borderId="14" xfId="5" applyFont="1" applyFill="1" applyBorder="1" applyAlignment="1">
      <alignment horizontal="center" vertical="center" shrinkToFit="1"/>
    </xf>
    <xf numFmtId="0" fontId="34" fillId="0" borderId="0" xfId="5" applyFont="1" applyFill="1" applyBorder="1" applyAlignment="1">
      <alignment horizontal="center" vertical="center" shrinkToFit="1"/>
    </xf>
    <xf numFmtId="0" fontId="34" fillId="0" borderId="15" xfId="5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33" fillId="0" borderId="37" xfId="0" applyFont="1" applyFill="1" applyBorder="1" applyAlignment="1">
      <alignment horizontal="center" vertical="center" shrinkToFit="1"/>
    </xf>
    <xf numFmtId="0" fontId="33" fillId="0" borderId="43" xfId="0" applyFont="1" applyFill="1" applyBorder="1" applyAlignment="1">
      <alignment horizontal="center" vertical="center" shrinkToFit="1"/>
    </xf>
    <xf numFmtId="0" fontId="33" fillId="0" borderId="38" xfId="0" applyFont="1" applyFill="1" applyBorder="1" applyAlignment="1">
      <alignment horizontal="center" vertical="center" shrinkToFit="1"/>
    </xf>
    <xf numFmtId="0" fontId="20" fillId="17" borderId="42" xfId="0" applyNumberFormat="1" applyFont="1" applyFill="1" applyBorder="1" applyAlignment="1">
      <alignment horizontal="center" vertical="center" shrinkToFit="1"/>
    </xf>
    <xf numFmtId="0" fontId="20" fillId="17" borderId="36" xfId="0" applyNumberFormat="1" applyFont="1" applyFill="1" applyBorder="1" applyAlignment="1">
      <alignment horizontal="center" vertical="center" shrinkToFit="1"/>
    </xf>
    <xf numFmtId="0" fontId="18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1" fillId="0" borderId="28" xfId="0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 wrapText="1" shrinkToFit="1"/>
    </xf>
    <xf numFmtId="0" fontId="32" fillId="0" borderId="28" xfId="0" applyFont="1" applyFill="1" applyBorder="1" applyAlignment="1">
      <alignment horizontal="center" vertical="center" shrinkToFit="1"/>
    </xf>
    <xf numFmtId="176" fontId="20" fillId="17" borderId="35" xfId="0" applyNumberFormat="1" applyFont="1" applyFill="1" applyBorder="1" applyAlignment="1">
      <alignment horizontal="center" vertical="center" shrinkToFit="1"/>
    </xf>
    <xf numFmtId="176" fontId="20" fillId="17" borderId="42" xfId="0" applyNumberFormat="1" applyFont="1" applyFill="1" applyBorder="1" applyAlignment="1">
      <alignment horizontal="center" vertical="center" shrinkToFit="1"/>
    </xf>
    <xf numFmtId="0" fontId="32" fillId="0" borderId="6" xfId="0" applyFont="1" applyFill="1" applyBorder="1" applyAlignment="1">
      <alignment horizontal="center" vertical="center" wrapText="1" shrinkToFit="1"/>
    </xf>
    <xf numFmtId="0" fontId="8" fillId="13" borderId="0" xfId="0" applyFont="1" applyFill="1" applyAlignment="1">
      <alignment horizontal="left" vertical="center" wrapText="1"/>
    </xf>
    <xf numFmtId="0" fontId="23" fillId="13" borderId="0" xfId="0" applyFont="1" applyFill="1" applyAlignment="1">
      <alignment horizontal="left" vertical="center" wrapText="1"/>
    </xf>
    <xf numFmtId="0" fontId="0" fillId="0" borderId="32" xfId="0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0" fillId="0" borderId="13" xfId="0" applyBorder="1" applyAlignment="1">
      <alignment vertical="center" textRotation="255" shrinkToFit="1"/>
    </xf>
    <xf numFmtId="0" fontId="0" fillId="0" borderId="28" xfId="0" applyBorder="1" applyAlignment="1">
      <alignment vertical="center" textRotation="255" shrinkToFit="1"/>
    </xf>
    <xf numFmtId="0" fontId="7" fillId="0" borderId="29" xfId="0" applyFont="1" applyFill="1" applyBorder="1" applyAlignment="1">
      <alignment horizontal="center" vertical="center" shrinkToFit="1"/>
    </xf>
    <xf numFmtId="0" fontId="7" fillId="0" borderId="27" xfId="0" applyFont="1" applyFill="1" applyBorder="1" applyAlignment="1">
      <alignment horizontal="center" vertical="center" shrinkToFit="1"/>
    </xf>
    <xf numFmtId="0" fontId="7" fillId="0" borderId="29" xfId="0" applyFont="1" applyBorder="1" applyAlignment="1">
      <alignment horizontal="center" vertical="center" shrinkToFit="1"/>
    </xf>
    <xf numFmtId="0" fontId="7" fillId="0" borderId="27" xfId="0" applyFont="1" applyBorder="1" applyAlignment="1">
      <alignment horizontal="center" vertical="center" shrinkToFit="1"/>
    </xf>
    <xf numFmtId="0" fontId="7" fillId="0" borderId="29" xfId="6" applyFont="1" applyFill="1" applyBorder="1" applyAlignment="1">
      <alignment horizontal="center" vertical="center" shrinkToFit="1"/>
    </xf>
    <xf numFmtId="0" fontId="7" fillId="0" borderId="27" xfId="6" applyFont="1" applyFill="1" applyBorder="1" applyAlignment="1">
      <alignment horizontal="center" vertical="center" shrinkToFit="1"/>
    </xf>
    <xf numFmtId="0" fontId="0" fillId="11" borderId="6" xfId="0" applyFont="1" applyFill="1" applyBorder="1" applyAlignment="1">
      <alignment horizontal="center" vertical="center" shrinkToFit="1"/>
    </xf>
    <xf numFmtId="0" fontId="0" fillId="11" borderId="13" xfId="0" applyFont="1" applyFill="1" applyBorder="1" applyAlignment="1">
      <alignment horizontal="center" vertical="center" shrinkToFit="1"/>
    </xf>
    <xf numFmtId="0" fontId="0" fillId="11" borderId="28" xfId="0" applyFont="1" applyFill="1" applyBorder="1" applyAlignment="1">
      <alignment horizontal="center" vertical="center" shrinkToFit="1"/>
    </xf>
    <xf numFmtId="0" fontId="0" fillId="11" borderId="6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shrinkToFit="1"/>
    </xf>
    <xf numFmtId="0" fontId="25" fillId="3" borderId="2" xfId="0" applyFont="1" applyFill="1" applyBorder="1" applyAlignment="1">
      <alignment horizontal="center" vertical="center" shrinkToFit="1"/>
    </xf>
    <xf numFmtId="0" fontId="25" fillId="3" borderId="5" xfId="0" applyFont="1" applyFill="1" applyBorder="1" applyAlignment="1">
      <alignment horizontal="center" vertical="center" shrinkToFit="1"/>
    </xf>
    <xf numFmtId="176" fontId="0" fillId="0" borderId="6" xfId="0" applyNumberFormat="1" applyFont="1" applyFill="1" applyBorder="1" applyAlignment="1">
      <alignment horizontal="center" vertical="center" textRotation="255" shrinkToFit="1"/>
    </xf>
    <xf numFmtId="0" fontId="26" fillId="3" borderId="2" xfId="0" applyFont="1" applyFill="1" applyBorder="1" applyAlignment="1">
      <alignment horizontal="center" vertical="center" shrinkToFit="1"/>
    </xf>
    <xf numFmtId="0" fontId="26" fillId="3" borderId="5" xfId="0" applyFont="1" applyFill="1" applyBorder="1" applyAlignment="1">
      <alignment horizontal="center" vertical="center" shrinkToFit="1"/>
    </xf>
    <xf numFmtId="0" fontId="0" fillId="0" borderId="1" xfId="0" applyFont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Fill="1" applyBorder="1" applyAlignment="1">
      <alignment vertical="center" textRotation="255" shrinkToFit="1"/>
    </xf>
    <xf numFmtId="0" fontId="25" fillId="3" borderId="4" xfId="0" applyFont="1" applyFill="1" applyBorder="1" applyAlignment="1">
      <alignment horizontal="center" vertical="center" shrinkToFit="1"/>
    </xf>
    <xf numFmtId="0" fontId="25" fillId="0" borderId="2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12" xfId="1" applyFont="1" applyFill="1" applyBorder="1" applyAlignment="1">
      <alignment horizontal="center" vertical="center"/>
    </xf>
    <xf numFmtId="0" fontId="25" fillId="0" borderId="4" xfId="1" applyFont="1" applyFill="1" applyBorder="1" applyAlignment="1">
      <alignment horizontal="center" vertical="center"/>
    </xf>
    <xf numFmtId="0" fontId="25" fillId="0" borderId="5" xfId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shrinkToFit="1"/>
    </xf>
    <xf numFmtId="0" fontId="11" fillId="0" borderId="27" xfId="0" applyFont="1" applyFill="1" applyBorder="1" applyAlignment="1">
      <alignment horizontal="center" vertical="center" shrinkToFit="1"/>
    </xf>
    <xf numFmtId="0" fontId="27" fillId="3" borderId="2" xfId="0" applyFont="1" applyFill="1" applyBorder="1" applyAlignment="1">
      <alignment horizontal="center" vertical="center" shrinkToFit="1"/>
    </xf>
    <xf numFmtId="0" fontId="27" fillId="3" borderId="5" xfId="0" applyFont="1" applyFill="1" applyBorder="1" applyAlignment="1">
      <alignment horizontal="center" vertical="center" shrinkToFit="1"/>
    </xf>
    <xf numFmtId="0" fontId="25" fillId="3" borderId="2" xfId="6" applyFont="1" applyFill="1" applyBorder="1" applyAlignment="1">
      <alignment horizontal="center" vertical="center" shrinkToFit="1"/>
    </xf>
    <xf numFmtId="0" fontId="25" fillId="3" borderId="5" xfId="6" applyFont="1" applyFill="1" applyBorder="1" applyAlignment="1">
      <alignment horizontal="center" vertical="center" shrinkToFit="1"/>
    </xf>
    <xf numFmtId="0" fontId="5" fillId="0" borderId="14" xfId="0" applyFont="1" applyFill="1" applyBorder="1" applyAlignment="1">
      <alignment horizontal="center" vertical="center" shrinkToFit="1"/>
    </xf>
    <xf numFmtId="0" fontId="5" fillId="0" borderId="15" xfId="0" applyFont="1" applyFill="1" applyBorder="1" applyAlignment="1">
      <alignment horizontal="center" vertical="center" shrinkToFit="1"/>
    </xf>
    <xf numFmtId="0" fontId="0" fillId="0" borderId="14" xfId="0" applyFill="1" applyBorder="1" applyAlignment="1">
      <alignment horizontal="center" vertical="center" wrapText="1" shrinkToFit="1"/>
    </xf>
    <xf numFmtId="0" fontId="0" fillId="0" borderId="15" xfId="0" applyFill="1" applyBorder="1" applyAlignment="1">
      <alignment horizontal="center" vertical="center" shrinkToFit="1"/>
    </xf>
    <xf numFmtId="0" fontId="0" fillId="0" borderId="14" xfId="0" applyFill="1" applyBorder="1" applyAlignment="1">
      <alignment horizontal="center" vertical="center" shrinkToFit="1"/>
    </xf>
    <xf numFmtId="0" fontId="25" fillId="3" borderId="3" xfId="0" applyFont="1" applyFill="1" applyBorder="1" applyAlignment="1">
      <alignment horizontal="center" vertical="center" shrinkToFit="1"/>
    </xf>
    <xf numFmtId="0" fontId="37" fillId="3" borderId="2" xfId="0" applyFont="1" applyFill="1" applyBorder="1" applyAlignment="1">
      <alignment horizontal="center" vertical="center" shrinkToFit="1"/>
    </xf>
    <xf numFmtId="0" fontId="37" fillId="3" borderId="5" xfId="0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 shrinkToFit="1"/>
    </xf>
    <xf numFmtId="0" fontId="2" fillId="3" borderId="5" xfId="0" applyFont="1" applyFill="1" applyBorder="1" applyAlignment="1">
      <alignment horizontal="center" vertical="center" shrinkToFit="1"/>
    </xf>
    <xf numFmtId="0" fontId="26" fillId="3" borderId="4" xfId="0" applyFont="1" applyFill="1" applyBorder="1" applyAlignment="1">
      <alignment horizontal="center" vertical="center" shrinkToFit="1"/>
    </xf>
    <xf numFmtId="0" fontId="11" fillId="0" borderId="29" xfId="0" applyFont="1" applyFill="1" applyBorder="1" applyAlignment="1">
      <alignment horizontal="center" vertical="center" shrinkToFit="1"/>
    </xf>
  </cellXfs>
  <cellStyles count="8">
    <cellStyle name="一般" xfId="0" builtinId="0"/>
    <cellStyle name="一般 2" xfId="1"/>
    <cellStyle name="一般 2 2" xfId="3"/>
    <cellStyle name="一般 3" xfId="6"/>
    <cellStyle name="一般 4" xfId="7"/>
    <cellStyle name="一般_東平小11月份菜單(改)" xfId="5"/>
    <cellStyle name="一般_新光國小-8.9月菜單" xfId="4"/>
    <cellStyle name="百分比 2" xfId="2"/>
  </cellStyles>
  <dxfs count="0"/>
  <tableStyles count="0" defaultTableStyle="TableStyleMedium2" defaultPivotStyle="PivotStyleLight16"/>
  <colors>
    <mruColors>
      <color rgb="FF0000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21</xdr:col>
      <xdr:colOff>11906</xdr:colOff>
      <xdr:row>0</xdr:row>
      <xdr:rowOff>1508759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"/>
          <a:ext cx="9370219" cy="1501139"/>
        </a:xfrm>
        <a:prstGeom prst="rect">
          <a:avLst/>
        </a:prstGeom>
      </xdr:spPr>
    </xdr:pic>
    <xdr:clientData/>
  </xdr:twoCellAnchor>
  <xdr:oneCellAnchor>
    <xdr:from>
      <xdr:col>8</xdr:col>
      <xdr:colOff>198120</xdr:colOff>
      <xdr:row>0</xdr:row>
      <xdr:rowOff>101302</xdr:rowOff>
    </xdr:from>
    <xdr:ext cx="3965535" cy="683558"/>
    <xdr:sp macro="" textlink="">
      <xdr:nvSpPr>
        <xdr:cNvPr id="3" name="文字方塊 2">
          <a:extLst>
            <a:ext uri="{FF2B5EF4-FFF2-40B4-BE49-F238E27FC236}">
              <a16:creationId xmlns:a16="http://schemas.microsoft.com/office/drawing/2014/main" id="{A424CD7E-E258-48C3-91A1-679FF2766B0C}"/>
            </a:ext>
          </a:extLst>
        </xdr:cNvPr>
        <xdr:cNvSpPr txBox="1"/>
      </xdr:nvSpPr>
      <xdr:spPr>
        <a:xfrm>
          <a:off x="3307080" y="101302"/>
          <a:ext cx="3965535" cy="683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TW" sz="3200" b="0">
              <a:solidFill>
                <a:schemeClr val="bg1"/>
              </a:solidFill>
              <a:effectLst/>
              <a:latin typeface="華康POP1體W9" panose="040B0909000000000000" pitchFamily="81" charset="-120"/>
              <a:ea typeface="華康POP1體W9" panose="040B0909000000000000" pitchFamily="81" charset="-120"/>
              <a:cs typeface="+mn-cs"/>
            </a:rPr>
            <a:t>109</a:t>
          </a:r>
          <a:r>
            <a:rPr lang="zh-TW" altLang="zh-TW" sz="3200" b="0">
              <a:solidFill>
                <a:schemeClr val="bg1"/>
              </a:solidFill>
              <a:effectLst/>
              <a:latin typeface="華康POP1體W9" panose="040B0909000000000000" pitchFamily="81" charset="-120"/>
              <a:ea typeface="華康POP1體W9" panose="040B0909000000000000" pitchFamily="81" charset="-120"/>
              <a:cs typeface="+mn-cs"/>
            </a:rPr>
            <a:t>年</a:t>
          </a:r>
          <a:r>
            <a:rPr lang="en-US" altLang="zh-TW" sz="3200" b="0">
              <a:solidFill>
                <a:schemeClr val="bg1"/>
              </a:solidFill>
              <a:effectLst/>
              <a:latin typeface="華康POP1體W9" panose="040B0909000000000000" pitchFamily="81" charset="-120"/>
              <a:ea typeface="華康POP1體W9" panose="040B0909000000000000" pitchFamily="81" charset="-120"/>
              <a:cs typeface="+mn-cs"/>
            </a:rPr>
            <a:t>11</a:t>
          </a:r>
          <a:r>
            <a:rPr lang="zh-TW" altLang="zh-TW" sz="3200" b="0">
              <a:solidFill>
                <a:schemeClr val="bg1"/>
              </a:solidFill>
              <a:effectLst/>
              <a:latin typeface="華康POP1體W9" panose="040B0909000000000000" pitchFamily="81" charset="-120"/>
              <a:ea typeface="華康POP1體W9" panose="040B0909000000000000" pitchFamily="81" charset="-120"/>
              <a:cs typeface="+mn-cs"/>
            </a:rPr>
            <a:t>月午餐菜單</a:t>
          </a:r>
          <a:endParaRPr lang="zh-TW" altLang="zh-TW" sz="3200" b="0">
            <a:solidFill>
              <a:schemeClr val="bg1"/>
            </a:solidFill>
            <a:effectLst/>
            <a:latin typeface="華康POP1體W9" panose="040B0909000000000000" pitchFamily="81" charset="-120"/>
            <a:ea typeface="華康POP1體W9" panose="040B0909000000000000" pitchFamily="81" charset="-120"/>
          </a:endParaRPr>
        </a:p>
      </xdr:txBody>
    </xdr:sp>
    <xdr:clientData/>
  </xdr:oneCellAnchor>
  <xdr:oneCellAnchor>
    <xdr:from>
      <xdr:col>2</xdr:col>
      <xdr:colOff>196326</xdr:colOff>
      <xdr:row>0</xdr:row>
      <xdr:rowOff>53340</xdr:rowOff>
    </xdr:from>
    <xdr:ext cx="2844054" cy="759182"/>
    <xdr:sp macro="" textlink="">
      <xdr:nvSpPr>
        <xdr:cNvPr id="4" name="文字方塊 3">
          <a:extLst>
            <a:ext uri="{FF2B5EF4-FFF2-40B4-BE49-F238E27FC236}">
              <a16:creationId xmlns:a16="http://schemas.microsoft.com/office/drawing/2014/main" id="{47CE01B5-8608-4629-96A0-63110C74C3E7}"/>
            </a:ext>
          </a:extLst>
        </xdr:cNvPr>
        <xdr:cNvSpPr txBox="1"/>
      </xdr:nvSpPr>
      <xdr:spPr>
        <a:xfrm>
          <a:off x="958326" y="53340"/>
          <a:ext cx="2844054" cy="7591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zh-TW" altLang="en-US" sz="4000" b="1" cap="none" spc="0">
              <a:ln>
                <a:noFill/>
              </a:ln>
              <a:solidFill>
                <a:schemeClr val="tx2">
                  <a:lumMod val="75000"/>
                </a:schemeClr>
              </a:solidFill>
              <a:effectLst/>
              <a:latin typeface="華康少女文字W7" panose="040F0709000000000000" pitchFamily="81" charset="-120"/>
              <a:ea typeface="華康少女文字W7" panose="040F0709000000000000" pitchFamily="81" charset="-120"/>
              <a:cs typeface="文鼎ＰＯＰ－４" panose="020B0609010101010101" pitchFamily="49" charset="-120"/>
            </a:rPr>
            <a:t>興大附農</a:t>
          </a:r>
        </a:p>
      </xdr:txBody>
    </xdr:sp>
    <xdr:clientData/>
  </xdr:oneCellAnchor>
  <xdr:oneCellAnchor>
    <xdr:from>
      <xdr:col>6</xdr:col>
      <xdr:colOff>68580</xdr:colOff>
      <xdr:row>0</xdr:row>
      <xdr:rowOff>596602</xdr:rowOff>
    </xdr:from>
    <xdr:ext cx="3200400" cy="683558"/>
    <xdr:sp macro="" textlink="">
      <xdr:nvSpPr>
        <xdr:cNvPr id="13" name="文字方塊 12">
          <a:extLst>
            <a:ext uri="{FF2B5EF4-FFF2-40B4-BE49-F238E27FC236}">
              <a16:creationId xmlns:a16="http://schemas.microsoft.com/office/drawing/2014/main" id="{A424CD7E-E258-48C3-91A1-679FF2766B0C}"/>
            </a:ext>
          </a:extLst>
        </xdr:cNvPr>
        <xdr:cNvSpPr txBox="1"/>
      </xdr:nvSpPr>
      <xdr:spPr>
        <a:xfrm>
          <a:off x="2369820" y="596602"/>
          <a:ext cx="3200400" cy="683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TW" sz="2400" b="0">
              <a:solidFill>
                <a:sysClr val="windowText" lastClr="000000"/>
              </a:solidFill>
              <a:effectLst/>
              <a:latin typeface="華康POP1體W9" panose="040B0909000000000000" pitchFamily="81" charset="-120"/>
              <a:ea typeface="華康POP1體W9" panose="040B0909000000000000" pitchFamily="81" charset="-120"/>
              <a:cs typeface="+mn-cs"/>
            </a:rPr>
            <a:t>-</a:t>
          </a:r>
          <a:r>
            <a:rPr lang="zh-TW" altLang="en-US" sz="2400" b="0" cap="none" spc="0">
              <a:ln>
                <a:noFill/>
              </a:ln>
              <a:solidFill>
                <a:schemeClr val="tx2">
                  <a:lumMod val="75000"/>
                </a:schemeClr>
              </a:solidFill>
              <a:effectLst/>
              <a:latin typeface="華康POP1體W9" panose="040B0909000000000000" pitchFamily="81" charset="-120"/>
              <a:ea typeface="華康POP1體W9" panose="040B0909000000000000" pitchFamily="81" charset="-120"/>
              <a:cs typeface="文鼎ＰＯＰ－４" panose="020B0609010101010101" pitchFamily="49" charset="-120"/>
            </a:rPr>
            <a:t>貝佳實業有限公司</a:t>
          </a:r>
          <a:r>
            <a:rPr lang="en-US" altLang="zh-TW" sz="2400" b="0">
              <a:solidFill>
                <a:sysClr val="windowText" lastClr="000000"/>
              </a:solidFill>
              <a:effectLst/>
              <a:latin typeface="華康POP1體W9" panose="040B0909000000000000" pitchFamily="81" charset="-120"/>
              <a:ea typeface="華康POP1體W9" panose="040B0909000000000000" pitchFamily="81" charset="-120"/>
              <a:cs typeface="+mn-cs"/>
            </a:rPr>
            <a:t>-</a:t>
          </a:r>
          <a:endParaRPr lang="zh-TW" altLang="zh-TW" sz="2400" b="0">
            <a:solidFill>
              <a:sysClr val="windowText" lastClr="000000"/>
            </a:solidFill>
            <a:effectLst/>
            <a:latin typeface="華康POP1體W9" panose="040B0909000000000000" pitchFamily="81" charset="-120"/>
            <a:ea typeface="華康POP1體W9" panose="040B0909000000000000" pitchFamily="81" charset="-120"/>
          </a:endParaRPr>
        </a:p>
      </xdr:txBody>
    </xdr:sp>
    <xdr:clientData/>
  </xdr:oneCellAnchor>
  <xdr:twoCellAnchor editAs="oneCell">
    <xdr:from>
      <xdr:col>8</xdr:col>
      <xdr:colOff>397051</xdr:colOff>
      <xdr:row>1</xdr:row>
      <xdr:rowOff>256621</xdr:rowOff>
    </xdr:from>
    <xdr:to>
      <xdr:col>9</xdr:col>
      <xdr:colOff>411479</xdr:colOff>
      <xdr:row>3</xdr:row>
      <xdr:rowOff>184308</xdr:rowOff>
    </xdr:to>
    <xdr:pic>
      <xdr:nvPicPr>
        <xdr:cNvPr id="17" name="圖片 16" descr="https://o.remove.bg/downloads/3d774a78-142c-44a6-a7e9-af8dc68a504e/image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21" t="33196" r="47273" b="35684"/>
        <a:stretch/>
      </xdr:blipFill>
      <xdr:spPr bwMode="auto">
        <a:xfrm>
          <a:off x="3873676" y="1780621"/>
          <a:ext cx="466866" cy="42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54</xdr:row>
      <xdr:rowOff>11328</xdr:rowOff>
    </xdr:from>
    <xdr:to>
      <xdr:col>5</xdr:col>
      <xdr:colOff>152400</xdr:colOff>
      <xdr:row>54</xdr:row>
      <xdr:rowOff>304801</xdr:rowOff>
    </xdr:to>
    <xdr:pic>
      <xdr:nvPicPr>
        <xdr:cNvPr id="22" name="圖片 21" descr="https://o.remove.bg/downloads/3d774a78-142c-44a6-a7e9-af8dc68a504e/image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21" t="33196" r="47273" b="35684"/>
        <a:stretch/>
      </xdr:blipFill>
      <xdr:spPr bwMode="auto">
        <a:xfrm>
          <a:off x="1760220" y="12889128"/>
          <a:ext cx="289560" cy="293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301802</xdr:colOff>
      <xdr:row>14</xdr:row>
      <xdr:rowOff>54215</xdr:rowOff>
    </xdr:from>
    <xdr:ext cx="466866" cy="427750"/>
    <xdr:pic>
      <xdr:nvPicPr>
        <xdr:cNvPr id="11" name="圖片 10" descr="https://o.remove.bg/downloads/3d774a78-142c-44a6-a7e9-af8dc68a504e/image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21" t="33196" r="47273" b="35684"/>
        <a:stretch/>
      </xdr:blipFill>
      <xdr:spPr bwMode="auto">
        <a:xfrm>
          <a:off x="3778427" y="4030903"/>
          <a:ext cx="466866" cy="42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325614</xdr:colOff>
      <xdr:row>34</xdr:row>
      <xdr:rowOff>89933</xdr:rowOff>
    </xdr:from>
    <xdr:ext cx="466866" cy="427750"/>
    <xdr:pic>
      <xdr:nvPicPr>
        <xdr:cNvPr id="18" name="圖片 17" descr="https://o.remove.bg/downloads/3d774a78-142c-44a6-a7e9-af8dc68a504e/image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21" t="33196" r="47273" b="35684"/>
        <a:stretch/>
      </xdr:blipFill>
      <xdr:spPr bwMode="auto">
        <a:xfrm>
          <a:off x="3802239" y="8448121"/>
          <a:ext cx="466866" cy="42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5"/>
  <sheetViews>
    <sheetView tabSelected="1" view="pageBreakPreview" topLeftCell="A10" zoomScale="85" zoomScaleNormal="85" zoomScaleSheetLayoutView="85" workbookViewId="0">
      <selection activeCell="AB9" sqref="AB9"/>
    </sheetView>
  </sheetViews>
  <sheetFormatPr defaultColWidth="8.8984375" defaultRowHeight="16.100000000000001"/>
  <cols>
    <col min="1" max="1" width="4.09765625" customWidth="1"/>
    <col min="2" max="21" width="5.8984375" customWidth="1"/>
  </cols>
  <sheetData>
    <row r="1" spans="1:21" ht="120.05" customHeight="1" thickBot="1">
      <c r="A1" s="268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9"/>
    </row>
    <row r="2" spans="1:21" s="158" customFormat="1" ht="21.05" customHeight="1">
      <c r="A2" s="260" t="s">
        <v>293</v>
      </c>
      <c r="B2" s="273">
        <v>44137</v>
      </c>
      <c r="C2" s="274"/>
      <c r="D2" s="266" t="s">
        <v>294</v>
      </c>
      <c r="E2" s="267"/>
      <c r="F2" s="273">
        <f>B2+1</f>
        <v>44138</v>
      </c>
      <c r="G2" s="274"/>
      <c r="H2" s="266" t="s">
        <v>90</v>
      </c>
      <c r="I2" s="267"/>
      <c r="J2" s="273">
        <f>F2+1</f>
        <v>44139</v>
      </c>
      <c r="K2" s="274"/>
      <c r="L2" s="266" t="s">
        <v>276</v>
      </c>
      <c r="M2" s="267"/>
      <c r="N2" s="273">
        <f>J2+1</f>
        <v>44140</v>
      </c>
      <c r="O2" s="274"/>
      <c r="P2" s="266" t="s">
        <v>369</v>
      </c>
      <c r="Q2" s="267"/>
      <c r="R2" s="273">
        <f>N2+1</f>
        <v>44141</v>
      </c>
      <c r="S2" s="274"/>
      <c r="T2" s="266" t="s">
        <v>370</v>
      </c>
      <c r="U2" s="267"/>
    </row>
    <row r="3" spans="1:21" s="159" customFormat="1" ht="19.149999999999999" customHeight="1">
      <c r="A3" s="261"/>
      <c r="B3" s="263" t="s">
        <v>449</v>
      </c>
      <c r="C3" s="264"/>
      <c r="D3" s="264"/>
      <c r="E3" s="265"/>
      <c r="F3" s="263" t="s">
        <v>430</v>
      </c>
      <c r="G3" s="264"/>
      <c r="H3" s="264"/>
      <c r="I3" s="265"/>
      <c r="J3" s="263" t="s">
        <v>300</v>
      </c>
      <c r="K3" s="264"/>
      <c r="L3" s="264"/>
      <c r="M3" s="265"/>
      <c r="N3" s="263" t="s">
        <v>431</v>
      </c>
      <c r="O3" s="264"/>
      <c r="P3" s="264"/>
      <c r="Q3" s="265"/>
      <c r="R3" s="263" t="s">
        <v>100</v>
      </c>
      <c r="S3" s="264"/>
      <c r="T3" s="264"/>
      <c r="U3" s="265"/>
    </row>
    <row r="4" spans="1:21" s="159" customFormat="1" ht="19.149999999999999" customHeight="1">
      <c r="A4" s="261"/>
      <c r="B4" s="254" t="s">
        <v>452</v>
      </c>
      <c r="C4" s="255"/>
      <c r="D4" s="255"/>
      <c r="E4" s="256"/>
      <c r="F4" s="254" t="s">
        <v>371</v>
      </c>
      <c r="G4" s="255"/>
      <c r="H4" s="255"/>
      <c r="I4" s="256"/>
      <c r="J4" s="254" t="s">
        <v>462</v>
      </c>
      <c r="K4" s="255"/>
      <c r="L4" s="255"/>
      <c r="M4" s="256"/>
      <c r="N4" s="254" t="s">
        <v>432</v>
      </c>
      <c r="O4" s="255"/>
      <c r="P4" s="255"/>
      <c r="Q4" s="256"/>
      <c r="R4" s="254" t="s">
        <v>638</v>
      </c>
      <c r="S4" s="255"/>
      <c r="T4" s="255"/>
      <c r="U4" s="256"/>
    </row>
    <row r="5" spans="1:21" s="159" customFormat="1" ht="19.149999999999999" customHeight="1">
      <c r="A5" s="261"/>
      <c r="B5" s="254"/>
      <c r="C5" s="255"/>
      <c r="D5" s="255"/>
      <c r="E5" s="256"/>
      <c r="F5" s="254"/>
      <c r="G5" s="255"/>
      <c r="H5" s="255"/>
      <c r="I5" s="256"/>
      <c r="J5" s="254"/>
      <c r="K5" s="255"/>
      <c r="L5" s="255"/>
      <c r="M5" s="256"/>
      <c r="N5" s="254"/>
      <c r="O5" s="255"/>
      <c r="P5" s="255"/>
      <c r="Q5" s="256"/>
      <c r="R5" s="254"/>
      <c r="S5" s="255"/>
      <c r="T5" s="255"/>
      <c r="U5" s="256"/>
    </row>
    <row r="6" spans="1:21" s="159" customFormat="1" ht="19.149999999999999" customHeight="1">
      <c r="A6" s="261"/>
      <c r="B6" s="254"/>
      <c r="C6" s="255"/>
      <c r="D6" s="255"/>
      <c r="E6" s="256"/>
      <c r="F6" s="254"/>
      <c r="G6" s="255"/>
      <c r="H6" s="255"/>
      <c r="I6" s="256"/>
      <c r="J6" s="254"/>
      <c r="K6" s="255"/>
      <c r="L6" s="255"/>
      <c r="M6" s="256"/>
      <c r="N6" s="254"/>
      <c r="O6" s="255"/>
      <c r="P6" s="255"/>
      <c r="Q6" s="256"/>
      <c r="R6" s="257" t="s">
        <v>639</v>
      </c>
      <c r="S6" s="258"/>
      <c r="T6" s="258"/>
      <c r="U6" s="259"/>
    </row>
    <row r="7" spans="1:21" s="159" customFormat="1" ht="19.149999999999999" customHeight="1">
      <c r="A7" s="261"/>
      <c r="B7" s="257" t="s">
        <v>453</v>
      </c>
      <c r="C7" s="258"/>
      <c r="D7" s="258"/>
      <c r="E7" s="259"/>
      <c r="F7" s="257" t="s">
        <v>295</v>
      </c>
      <c r="G7" s="258"/>
      <c r="H7" s="258"/>
      <c r="I7" s="259"/>
      <c r="J7" s="257" t="s">
        <v>463</v>
      </c>
      <c r="K7" s="258"/>
      <c r="L7" s="258"/>
      <c r="M7" s="259"/>
      <c r="N7" s="257" t="s">
        <v>296</v>
      </c>
      <c r="O7" s="258"/>
      <c r="P7" s="258"/>
      <c r="Q7" s="259"/>
      <c r="R7" s="257" t="s">
        <v>640</v>
      </c>
      <c r="S7" s="258"/>
      <c r="T7" s="258"/>
      <c r="U7" s="259"/>
    </row>
    <row r="8" spans="1:21" s="159" customFormat="1" ht="19.149999999999999" customHeight="1">
      <c r="A8" s="261"/>
      <c r="B8" s="254"/>
      <c r="C8" s="255"/>
      <c r="D8" s="255"/>
      <c r="E8" s="256"/>
      <c r="F8" s="254"/>
      <c r="G8" s="255"/>
      <c r="H8" s="255"/>
      <c r="I8" s="256"/>
      <c r="J8" s="254"/>
      <c r="K8" s="255"/>
      <c r="L8" s="255"/>
      <c r="M8" s="256"/>
      <c r="N8" s="254"/>
      <c r="O8" s="255"/>
      <c r="P8" s="255"/>
      <c r="Q8" s="256"/>
      <c r="R8" s="257" t="s">
        <v>434</v>
      </c>
      <c r="S8" s="258"/>
      <c r="T8" s="258"/>
      <c r="U8" s="259"/>
    </row>
    <row r="9" spans="1:21" s="159" customFormat="1" ht="19.149999999999999" customHeight="1">
      <c r="A9" s="261"/>
      <c r="B9" s="257" t="s">
        <v>454</v>
      </c>
      <c r="C9" s="258"/>
      <c r="D9" s="258"/>
      <c r="E9" s="259"/>
      <c r="F9" s="257" t="s">
        <v>64</v>
      </c>
      <c r="G9" s="258"/>
      <c r="H9" s="258"/>
      <c r="I9" s="259"/>
      <c r="J9" s="257" t="s">
        <v>464</v>
      </c>
      <c r="K9" s="258"/>
      <c r="L9" s="258"/>
      <c r="M9" s="259"/>
      <c r="N9" s="257" t="s">
        <v>433</v>
      </c>
      <c r="O9" s="258"/>
      <c r="P9" s="258"/>
      <c r="Q9" s="259"/>
      <c r="R9" s="257" t="s">
        <v>641</v>
      </c>
      <c r="S9" s="258"/>
      <c r="T9" s="258"/>
      <c r="U9" s="259"/>
    </row>
    <row r="10" spans="1:21" s="159" customFormat="1" ht="19.149999999999999" customHeight="1">
      <c r="A10" s="261"/>
      <c r="B10" s="242" t="s">
        <v>297</v>
      </c>
      <c r="C10" s="243"/>
      <c r="D10" s="243"/>
      <c r="E10" s="244"/>
      <c r="F10" s="242" t="s">
        <v>372</v>
      </c>
      <c r="G10" s="243"/>
      <c r="H10" s="243"/>
      <c r="I10" s="244"/>
      <c r="J10" s="242" t="s">
        <v>241</v>
      </c>
      <c r="K10" s="243"/>
      <c r="L10" s="243"/>
      <c r="M10" s="244"/>
      <c r="N10" s="242" t="s">
        <v>373</v>
      </c>
      <c r="O10" s="243"/>
      <c r="P10" s="243"/>
      <c r="Q10" s="244"/>
      <c r="R10" s="242" t="s">
        <v>664</v>
      </c>
      <c r="S10" s="243"/>
      <c r="T10" s="243"/>
      <c r="U10" s="244"/>
    </row>
    <row r="11" spans="1:21" s="159" customFormat="1" ht="19.149999999999999" customHeight="1" thickBot="1">
      <c r="A11" s="270"/>
      <c r="B11" s="245" t="s">
        <v>298</v>
      </c>
      <c r="C11" s="246"/>
      <c r="D11" s="246"/>
      <c r="E11" s="247"/>
      <c r="F11" s="245" t="s">
        <v>65</v>
      </c>
      <c r="G11" s="246"/>
      <c r="H11" s="246"/>
      <c r="I11" s="247"/>
      <c r="J11" s="245" t="s">
        <v>470</v>
      </c>
      <c r="K11" s="246"/>
      <c r="L11" s="246"/>
      <c r="M11" s="247"/>
      <c r="N11" s="245" t="s">
        <v>374</v>
      </c>
      <c r="O11" s="246"/>
      <c r="P11" s="246"/>
      <c r="Q11" s="247"/>
      <c r="R11" s="245" t="s">
        <v>642</v>
      </c>
      <c r="S11" s="246"/>
      <c r="T11" s="246"/>
      <c r="U11" s="247"/>
    </row>
    <row r="12" spans="1:21" s="210" customFormat="1" ht="10.95" customHeight="1">
      <c r="A12" s="271" t="s">
        <v>352</v>
      </c>
      <c r="B12" s="216" t="s">
        <v>353</v>
      </c>
      <c r="C12" s="217">
        <f>'11月明細(午餐)'!O4</f>
        <v>126.86928571428571</v>
      </c>
      <c r="D12" s="208" t="s">
        <v>360</v>
      </c>
      <c r="E12" s="209">
        <f>'11月明細(午餐)'!O8</f>
        <v>37.276238095238099</v>
      </c>
      <c r="F12" s="216" t="s">
        <v>375</v>
      </c>
      <c r="G12" s="217">
        <f>'11月明細(午餐)'!O12</f>
        <v>124.57941176470588</v>
      </c>
      <c r="H12" s="208" t="s">
        <v>376</v>
      </c>
      <c r="I12" s="209">
        <f>'11月明細(午餐)'!O16</f>
        <v>36.63210338680927</v>
      </c>
      <c r="J12" s="216" t="s">
        <v>358</v>
      </c>
      <c r="K12" s="217">
        <f>'11月明細(午餐)'!O20</f>
        <v>121.25</v>
      </c>
      <c r="L12" s="208" t="s">
        <v>355</v>
      </c>
      <c r="M12" s="209">
        <f>'11月明細(午餐)'!O24</f>
        <v>37.700000000000003</v>
      </c>
      <c r="N12" s="216" t="s">
        <v>375</v>
      </c>
      <c r="O12" s="217">
        <f>'11月明細(午餐)'!O28</f>
        <v>118.96036414565826</v>
      </c>
      <c r="P12" s="208" t="s">
        <v>355</v>
      </c>
      <c r="Q12" s="209">
        <f>'11月明細(午餐)'!O32</f>
        <v>36.610927340633225</v>
      </c>
      <c r="R12" s="216" t="s">
        <v>358</v>
      </c>
      <c r="S12" s="217">
        <f>'11月明細(午餐)'!O36</f>
        <v>122.54285714285714</v>
      </c>
      <c r="T12" s="208" t="s">
        <v>377</v>
      </c>
      <c r="U12" s="209">
        <f>'11月明細(午餐)'!O40</f>
        <v>40.474805194805192</v>
      </c>
    </row>
    <row r="13" spans="1:21" s="210" customFormat="1" ht="10.95" customHeight="1" thickBot="1">
      <c r="A13" s="272"/>
      <c r="B13" s="218" t="s">
        <v>354</v>
      </c>
      <c r="C13" s="212">
        <f>'11月明細(午餐)'!O6</f>
        <v>26.107142857142854</v>
      </c>
      <c r="D13" s="213" t="s">
        <v>357</v>
      </c>
      <c r="E13" s="214">
        <f>'11月明細(午餐)'!O10</f>
        <v>891.54638095238079</v>
      </c>
      <c r="F13" s="218" t="s">
        <v>378</v>
      </c>
      <c r="G13" s="212">
        <f>'11月明細(午餐)'!O14</f>
        <v>25.870129870129873</v>
      </c>
      <c r="H13" s="213" t="s">
        <v>379</v>
      </c>
      <c r="I13" s="214">
        <f>'11月明細(午餐)'!O18</f>
        <v>877.67722943722947</v>
      </c>
      <c r="J13" s="218" t="s">
        <v>354</v>
      </c>
      <c r="K13" s="212">
        <f>'11月明細(午餐)'!O22</f>
        <v>27.464285714285715</v>
      </c>
      <c r="L13" s="213" t="s">
        <v>380</v>
      </c>
      <c r="M13" s="214">
        <f>'11月明細(午餐)'!O26</f>
        <v>882.9785714285714</v>
      </c>
      <c r="N13" s="218" t="s">
        <v>354</v>
      </c>
      <c r="O13" s="212">
        <f>'11月明細(午餐)'!O22</f>
        <v>27.464285714285715</v>
      </c>
      <c r="P13" s="213" t="s">
        <v>379</v>
      </c>
      <c r="Q13" s="214">
        <f>'11月明細(午餐)'!O34</f>
        <v>864.51081529581518</v>
      </c>
      <c r="R13" s="218" t="s">
        <v>378</v>
      </c>
      <c r="S13" s="212">
        <f>'11月明細(午餐)'!O38</f>
        <v>28.79220779220779</v>
      </c>
      <c r="T13" s="213" t="s">
        <v>379</v>
      </c>
      <c r="U13" s="214">
        <f>'11月明細(午餐)'!O43</f>
        <v>911.20051948051946</v>
      </c>
    </row>
    <row r="14" spans="1:21" s="158" customFormat="1" ht="21.05" customHeight="1">
      <c r="A14" s="260" t="s">
        <v>299</v>
      </c>
      <c r="B14" s="273">
        <f>R2+3</f>
        <v>44144</v>
      </c>
      <c r="C14" s="274"/>
      <c r="D14" s="266" t="s">
        <v>381</v>
      </c>
      <c r="E14" s="267"/>
      <c r="F14" s="273">
        <f>B14+1</f>
        <v>44145</v>
      </c>
      <c r="G14" s="274"/>
      <c r="H14" s="266" t="s">
        <v>382</v>
      </c>
      <c r="I14" s="267"/>
      <c r="J14" s="273">
        <f>F14+1</f>
        <v>44146</v>
      </c>
      <c r="K14" s="274"/>
      <c r="L14" s="266" t="s">
        <v>276</v>
      </c>
      <c r="M14" s="267"/>
      <c r="N14" s="273">
        <f>J14+1</f>
        <v>44147</v>
      </c>
      <c r="O14" s="274"/>
      <c r="P14" s="266" t="s">
        <v>281</v>
      </c>
      <c r="Q14" s="267"/>
      <c r="R14" s="273">
        <f>N14+1</f>
        <v>44148</v>
      </c>
      <c r="S14" s="274"/>
      <c r="T14" s="266" t="s">
        <v>383</v>
      </c>
      <c r="U14" s="267"/>
    </row>
    <row r="15" spans="1:21" s="159" customFormat="1" ht="19.149999999999999" customHeight="1">
      <c r="A15" s="261"/>
      <c r="B15" s="263" t="s">
        <v>449</v>
      </c>
      <c r="C15" s="264"/>
      <c r="D15" s="264"/>
      <c r="E15" s="265"/>
      <c r="F15" s="263" t="s">
        <v>439</v>
      </c>
      <c r="G15" s="264"/>
      <c r="H15" s="264"/>
      <c r="I15" s="265"/>
      <c r="J15" s="263" t="s">
        <v>450</v>
      </c>
      <c r="K15" s="264"/>
      <c r="L15" s="264"/>
      <c r="M15" s="265"/>
      <c r="N15" s="263" t="s">
        <v>431</v>
      </c>
      <c r="O15" s="264"/>
      <c r="P15" s="264"/>
      <c r="Q15" s="265"/>
      <c r="R15" s="263" t="s">
        <v>100</v>
      </c>
      <c r="S15" s="264"/>
      <c r="T15" s="264"/>
      <c r="U15" s="265"/>
    </row>
    <row r="16" spans="1:21" s="159" customFormat="1" ht="19.149999999999999" customHeight="1">
      <c r="A16" s="261"/>
      <c r="B16" s="254" t="s">
        <v>455</v>
      </c>
      <c r="C16" s="255"/>
      <c r="D16" s="255"/>
      <c r="E16" s="256"/>
      <c r="F16" s="254" t="s">
        <v>447</v>
      </c>
      <c r="G16" s="255"/>
      <c r="H16" s="255"/>
      <c r="I16" s="256"/>
      <c r="J16" s="254" t="s">
        <v>634</v>
      </c>
      <c r="K16" s="255"/>
      <c r="L16" s="255"/>
      <c r="M16" s="256"/>
      <c r="N16" s="254" t="s">
        <v>435</v>
      </c>
      <c r="O16" s="255"/>
      <c r="P16" s="255"/>
      <c r="Q16" s="256"/>
      <c r="R16" s="254" t="s">
        <v>384</v>
      </c>
      <c r="S16" s="255"/>
      <c r="T16" s="255"/>
      <c r="U16" s="256"/>
    </row>
    <row r="17" spans="1:21" s="159" customFormat="1" ht="19.149999999999999" customHeight="1">
      <c r="A17" s="261"/>
      <c r="B17" s="254"/>
      <c r="C17" s="255"/>
      <c r="D17" s="255"/>
      <c r="E17" s="256"/>
      <c r="F17" s="254"/>
      <c r="G17" s="255"/>
      <c r="H17" s="255"/>
      <c r="I17" s="256"/>
      <c r="J17" s="254"/>
      <c r="K17" s="255"/>
      <c r="L17" s="255"/>
      <c r="M17" s="256"/>
      <c r="N17" s="254"/>
      <c r="O17" s="255"/>
      <c r="P17" s="255"/>
      <c r="Q17" s="256"/>
      <c r="R17" s="254"/>
      <c r="S17" s="255"/>
      <c r="T17" s="255"/>
      <c r="U17" s="256"/>
    </row>
    <row r="18" spans="1:21" s="159" customFormat="1" ht="19.149999999999999" customHeight="1">
      <c r="A18" s="261"/>
      <c r="B18" s="257" t="s">
        <v>456</v>
      </c>
      <c r="C18" s="258"/>
      <c r="D18" s="258"/>
      <c r="E18" s="259"/>
      <c r="F18" s="257" t="s">
        <v>385</v>
      </c>
      <c r="G18" s="258"/>
      <c r="H18" s="258"/>
      <c r="I18" s="259"/>
      <c r="J18" s="257" t="s">
        <v>178</v>
      </c>
      <c r="K18" s="258"/>
      <c r="L18" s="258"/>
      <c r="M18" s="259"/>
      <c r="N18" s="257" t="s">
        <v>436</v>
      </c>
      <c r="O18" s="258"/>
      <c r="P18" s="258"/>
      <c r="Q18" s="259"/>
      <c r="R18" s="257" t="s">
        <v>437</v>
      </c>
      <c r="S18" s="258"/>
      <c r="T18" s="258"/>
      <c r="U18" s="259"/>
    </row>
    <row r="19" spans="1:21" s="159" customFormat="1" ht="19.149999999999999" customHeight="1">
      <c r="A19" s="261"/>
      <c r="B19" s="257" t="s">
        <v>457</v>
      </c>
      <c r="C19" s="258"/>
      <c r="D19" s="258"/>
      <c r="E19" s="259"/>
      <c r="F19" s="257" t="s">
        <v>386</v>
      </c>
      <c r="G19" s="258"/>
      <c r="H19" s="258"/>
      <c r="I19" s="259"/>
      <c r="J19" s="257" t="s">
        <v>465</v>
      </c>
      <c r="K19" s="258"/>
      <c r="L19" s="258"/>
      <c r="M19" s="259"/>
      <c r="N19" s="257" t="s">
        <v>387</v>
      </c>
      <c r="O19" s="258"/>
      <c r="P19" s="258"/>
      <c r="Q19" s="259"/>
      <c r="R19" s="257" t="s">
        <v>388</v>
      </c>
      <c r="S19" s="258"/>
      <c r="T19" s="258"/>
      <c r="U19" s="259"/>
    </row>
    <row r="20" spans="1:21" s="159" customFormat="1" ht="19.149999999999999" customHeight="1">
      <c r="A20" s="261"/>
      <c r="B20" s="242" t="s">
        <v>147</v>
      </c>
      <c r="C20" s="243"/>
      <c r="D20" s="243"/>
      <c r="E20" s="244"/>
      <c r="F20" s="242" t="s">
        <v>665</v>
      </c>
      <c r="G20" s="243"/>
      <c r="H20" s="243"/>
      <c r="I20" s="244"/>
      <c r="J20" s="242" t="s">
        <v>21</v>
      </c>
      <c r="K20" s="243"/>
      <c r="L20" s="243"/>
      <c r="M20" s="244"/>
      <c r="N20" s="242" t="s">
        <v>73</v>
      </c>
      <c r="O20" s="243"/>
      <c r="P20" s="243"/>
      <c r="Q20" s="244"/>
      <c r="R20" s="242" t="s">
        <v>473</v>
      </c>
      <c r="S20" s="243"/>
      <c r="T20" s="243"/>
      <c r="U20" s="244"/>
    </row>
    <row r="21" spans="1:21" s="159" customFormat="1" ht="19.149999999999999" customHeight="1" thickBot="1">
      <c r="A21" s="270"/>
      <c r="B21" s="245" t="s">
        <v>389</v>
      </c>
      <c r="C21" s="246"/>
      <c r="D21" s="246"/>
      <c r="E21" s="247"/>
      <c r="F21" s="245" t="s">
        <v>390</v>
      </c>
      <c r="G21" s="246"/>
      <c r="H21" s="246"/>
      <c r="I21" s="247"/>
      <c r="J21" s="245" t="s">
        <v>471</v>
      </c>
      <c r="K21" s="246"/>
      <c r="L21" s="246"/>
      <c r="M21" s="247"/>
      <c r="N21" s="245" t="s">
        <v>442</v>
      </c>
      <c r="O21" s="246"/>
      <c r="P21" s="246"/>
      <c r="Q21" s="247"/>
      <c r="R21" s="245" t="s">
        <v>469</v>
      </c>
      <c r="S21" s="246"/>
      <c r="T21" s="246"/>
      <c r="U21" s="247"/>
    </row>
    <row r="22" spans="1:21" s="210" customFormat="1" ht="10.95" customHeight="1">
      <c r="A22" s="271" t="s">
        <v>352</v>
      </c>
      <c r="B22" s="216" t="s">
        <v>358</v>
      </c>
      <c r="C22" s="217">
        <f>'11月明細(午餐)'!O52</f>
        <v>121.56043956043955</v>
      </c>
      <c r="D22" s="208" t="s">
        <v>355</v>
      </c>
      <c r="E22" s="209">
        <f>'11月明細(午餐)'!O56</f>
        <v>36.495616883116881</v>
      </c>
      <c r="F22" s="216" t="s">
        <v>358</v>
      </c>
      <c r="G22" s="217">
        <f>'11月明細(午餐)'!O60</f>
        <v>123.28333333333333</v>
      </c>
      <c r="H22" s="208" t="s">
        <v>355</v>
      </c>
      <c r="I22" s="209">
        <f>'11月明細(午餐)'!O64</f>
        <v>36.684444444444445</v>
      </c>
      <c r="J22" s="216" t="s">
        <v>358</v>
      </c>
      <c r="K22" s="217">
        <f>'11月明細(午餐)'!O68</f>
        <v>124.58235294117647</v>
      </c>
      <c r="L22" s="208" t="s">
        <v>355</v>
      </c>
      <c r="M22" s="209">
        <f>'11月明細(午餐)'!O72</f>
        <v>37.494010695187164</v>
      </c>
      <c r="N22" s="216" t="s">
        <v>358</v>
      </c>
      <c r="O22" s="217">
        <f>'11月明細(午餐)'!O76</f>
        <v>121.4</v>
      </c>
      <c r="P22" s="208" t="s">
        <v>391</v>
      </c>
      <c r="Q22" s="209">
        <f>'11月明細(午餐)'!O80</f>
        <v>37.739090909090905</v>
      </c>
      <c r="R22" s="216" t="s">
        <v>358</v>
      </c>
      <c r="S22" s="217">
        <f>'11月明細(午餐)'!O84</f>
        <v>124.54369747899159</v>
      </c>
      <c r="T22" s="208" t="s">
        <v>391</v>
      </c>
      <c r="U22" s="209">
        <f>'11月明細(午餐)'!O88</f>
        <v>33.192492997198876</v>
      </c>
    </row>
    <row r="23" spans="1:21" s="210" customFormat="1" ht="10.95" customHeight="1" thickBot="1">
      <c r="A23" s="272"/>
      <c r="B23" s="218" t="s">
        <v>354</v>
      </c>
      <c r="C23" s="212">
        <f>'11月明細(午餐)'!O54</f>
        <v>26.11931818181818</v>
      </c>
      <c r="D23" s="213" t="s">
        <v>359</v>
      </c>
      <c r="E23" s="214">
        <f>'11月明細(午餐)'!O58</f>
        <v>867.29808941058934</v>
      </c>
      <c r="F23" s="218" t="s">
        <v>354</v>
      </c>
      <c r="G23" s="212">
        <f>'11月明細(午餐)'!O62</f>
        <v>26.107142857142854</v>
      </c>
      <c r="H23" s="213" t="s">
        <v>359</v>
      </c>
      <c r="I23" s="214">
        <f>'11月明細(午餐)'!O66</f>
        <v>874.83539682539674</v>
      </c>
      <c r="J23" s="218" t="s">
        <v>354</v>
      </c>
      <c r="K23" s="212">
        <f>'11月明細(午餐)'!O70</f>
        <v>27.240259740259738</v>
      </c>
      <c r="L23" s="213" t="s">
        <v>392</v>
      </c>
      <c r="M23" s="214">
        <f>'11月明細(午餐)'!O74</f>
        <v>893.46779220779217</v>
      </c>
      <c r="N23" s="218" t="s">
        <v>354</v>
      </c>
      <c r="O23" s="212">
        <f>'11月明細(午餐)'!O78</f>
        <v>27.470779220779221</v>
      </c>
      <c r="P23" s="213" t="s">
        <v>359</v>
      </c>
      <c r="Q23" s="214">
        <f>'11月明細(午餐)'!O82</f>
        <v>883.79337662337662</v>
      </c>
      <c r="R23" s="218" t="s">
        <v>354</v>
      </c>
      <c r="S23" s="212">
        <f>'11月明細(午餐)'!O86</f>
        <v>23.428571428571427</v>
      </c>
      <c r="T23" s="213" t="s">
        <v>359</v>
      </c>
      <c r="U23" s="214">
        <f>'11月明細(午餐)'!O90</f>
        <v>841.80190476190478</v>
      </c>
    </row>
    <row r="24" spans="1:21" s="158" customFormat="1" ht="21.05" customHeight="1">
      <c r="A24" s="260" t="s">
        <v>301</v>
      </c>
      <c r="B24" s="273">
        <f>R14+3</f>
        <v>44151</v>
      </c>
      <c r="C24" s="274"/>
      <c r="D24" s="266" t="s">
        <v>393</v>
      </c>
      <c r="E24" s="267"/>
      <c r="F24" s="273">
        <f>B24+1</f>
        <v>44152</v>
      </c>
      <c r="G24" s="274"/>
      <c r="H24" s="266" t="s">
        <v>394</v>
      </c>
      <c r="I24" s="267"/>
      <c r="J24" s="273">
        <f>F24+1</f>
        <v>44153</v>
      </c>
      <c r="K24" s="274"/>
      <c r="L24" s="266" t="s">
        <v>395</v>
      </c>
      <c r="M24" s="267"/>
      <c r="N24" s="273">
        <f>J24+1</f>
        <v>44154</v>
      </c>
      <c r="O24" s="274"/>
      <c r="P24" s="266" t="s">
        <v>281</v>
      </c>
      <c r="Q24" s="267"/>
      <c r="R24" s="273">
        <f>N24+1</f>
        <v>44155</v>
      </c>
      <c r="S24" s="274"/>
      <c r="T24" s="266" t="s">
        <v>396</v>
      </c>
      <c r="U24" s="267"/>
    </row>
    <row r="25" spans="1:21" s="159" customFormat="1" ht="19.149999999999999" customHeight="1">
      <c r="A25" s="261"/>
      <c r="B25" s="263" t="s">
        <v>449</v>
      </c>
      <c r="C25" s="264"/>
      <c r="D25" s="264"/>
      <c r="E25" s="265"/>
      <c r="F25" s="263"/>
      <c r="G25" s="264"/>
      <c r="H25" s="264"/>
      <c r="I25" s="265"/>
      <c r="J25" s="263"/>
      <c r="K25" s="264"/>
      <c r="L25" s="264"/>
      <c r="M25" s="265"/>
      <c r="N25" s="263" t="s">
        <v>431</v>
      </c>
      <c r="O25" s="264"/>
      <c r="P25" s="264"/>
      <c r="Q25" s="265"/>
      <c r="R25" s="263" t="s">
        <v>100</v>
      </c>
      <c r="S25" s="264"/>
      <c r="T25" s="264"/>
      <c r="U25" s="265"/>
    </row>
    <row r="26" spans="1:21" s="159" customFormat="1" ht="19.149999999999999" customHeight="1">
      <c r="A26" s="261"/>
      <c r="B26" s="254" t="s">
        <v>438</v>
      </c>
      <c r="C26" s="255"/>
      <c r="D26" s="255"/>
      <c r="E26" s="256"/>
      <c r="F26" s="254"/>
      <c r="G26" s="255"/>
      <c r="H26" s="255"/>
      <c r="I26" s="256"/>
      <c r="J26" s="254"/>
      <c r="K26" s="255"/>
      <c r="L26" s="255"/>
      <c r="M26" s="256"/>
      <c r="N26" s="254" t="s">
        <v>440</v>
      </c>
      <c r="O26" s="255"/>
      <c r="P26" s="255"/>
      <c r="Q26" s="256"/>
      <c r="R26" s="254" t="s">
        <v>397</v>
      </c>
      <c r="S26" s="255"/>
      <c r="T26" s="255"/>
      <c r="U26" s="256"/>
    </row>
    <row r="27" spans="1:21" s="159" customFormat="1" ht="19.149999999999999" customHeight="1">
      <c r="A27" s="261"/>
      <c r="B27" s="254"/>
      <c r="C27" s="255"/>
      <c r="D27" s="255"/>
      <c r="E27" s="256"/>
      <c r="F27" s="254"/>
      <c r="G27" s="255"/>
      <c r="H27" s="255"/>
      <c r="I27" s="256"/>
      <c r="J27" s="254"/>
      <c r="K27" s="255"/>
      <c r="L27" s="255"/>
      <c r="M27" s="256"/>
      <c r="N27" s="254"/>
      <c r="O27" s="255"/>
      <c r="P27" s="255"/>
      <c r="Q27" s="256"/>
      <c r="R27" s="254"/>
      <c r="S27" s="255"/>
      <c r="T27" s="255"/>
      <c r="U27" s="256"/>
    </row>
    <row r="28" spans="1:21" s="159" customFormat="1" ht="19.149999999999999" customHeight="1">
      <c r="A28" s="261"/>
      <c r="B28" s="257" t="s">
        <v>398</v>
      </c>
      <c r="C28" s="258"/>
      <c r="D28" s="258"/>
      <c r="E28" s="259"/>
      <c r="F28" s="257"/>
      <c r="G28" s="258"/>
      <c r="H28" s="258"/>
      <c r="I28" s="259"/>
      <c r="J28" s="257"/>
      <c r="K28" s="258"/>
      <c r="L28" s="258"/>
      <c r="M28" s="259"/>
      <c r="N28" s="257" t="s">
        <v>441</v>
      </c>
      <c r="O28" s="258"/>
      <c r="P28" s="258"/>
      <c r="Q28" s="259"/>
      <c r="R28" s="257" t="s">
        <v>399</v>
      </c>
      <c r="S28" s="258"/>
      <c r="T28" s="258"/>
      <c r="U28" s="259"/>
    </row>
    <row r="29" spans="1:21" s="159" customFormat="1" ht="19.149999999999999" customHeight="1">
      <c r="A29" s="261"/>
      <c r="B29" s="257" t="s">
        <v>458</v>
      </c>
      <c r="C29" s="258"/>
      <c r="D29" s="258"/>
      <c r="E29" s="259"/>
      <c r="F29" s="257"/>
      <c r="G29" s="258"/>
      <c r="H29" s="258"/>
      <c r="I29" s="259"/>
      <c r="J29" s="257"/>
      <c r="K29" s="258"/>
      <c r="L29" s="258"/>
      <c r="M29" s="259"/>
      <c r="N29" s="257" t="s">
        <v>475</v>
      </c>
      <c r="O29" s="258"/>
      <c r="P29" s="258"/>
      <c r="Q29" s="259"/>
      <c r="R29" s="257" t="s">
        <v>400</v>
      </c>
      <c r="S29" s="258"/>
      <c r="T29" s="258"/>
      <c r="U29" s="259"/>
    </row>
    <row r="30" spans="1:21" s="159" customFormat="1" ht="19.149999999999999" customHeight="1">
      <c r="A30" s="261"/>
      <c r="B30" s="242" t="s">
        <v>401</v>
      </c>
      <c r="C30" s="243"/>
      <c r="D30" s="243"/>
      <c r="E30" s="244"/>
      <c r="F30" s="242"/>
      <c r="G30" s="243"/>
      <c r="H30" s="243"/>
      <c r="I30" s="244"/>
      <c r="J30" s="242"/>
      <c r="K30" s="243"/>
      <c r="L30" s="243"/>
      <c r="M30" s="244"/>
      <c r="N30" s="242" t="s">
        <v>402</v>
      </c>
      <c r="O30" s="243"/>
      <c r="P30" s="243"/>
      <c r="Q30" s="244"/>
      <c r="R30" s="242" t="s">
        <v>665</v>
      </c>
      <c r="S30" s="243"/>
      <c r="T30" s="243"/>
      <c r="U30" s="244"/>
    </row>
    <row r="31" spans="1:21" s="159" customFormat="1" ht="19.149999999999999" customHeight="1" thickBot="1">
      <c r="A31" s="262"/>
      <c r="B31" s="245" t="s">
        <v>403</v>
      </c>
      <c r="C31" s="246"/>
      <c r="D31" s="246"/>
      <c r="E31" s="247"/>
      <c r="F31" s="245"/>
      <c r="G31" s="246"/>
      <c r="H31" s="246"/>
      <c r="I31" s="247"/>
      <c r="J31" s="245"/>
      <c r="K31" s="246"/>
      <c r="L31" s="246"/>
      <c r="M31" s="247"/>
      <c r="N31" s="245" t="s">
        <v>404</v>
      </c>
      <c r="O31" s="246"/>
      <c r="P31" s="246"/>
      <c r="Q31" s="247"/>
      <c r="R31" s="245" t="s">
        <v>405</v>
      </c>
      <c r="S31" s="246"/>
      <c r="T31" s="246"/>
      <c r="U31" s="247"/>
    </row>
    <row r="32" spans="1:21" s="210" customFormat="1" ht="10.95" customHeight="1">
      <c r="A32" s="275" t="s">
        <v>352</v>
      </c>
      <c r="B32" s="216" t="s">
        <v>406</v>
      </c>
      <c r="C32" s="217">
        <f>'11月明細(午餐)'!O99</f>
        <v>123.4</v>
      </c>
      <c r="D32" s="208" t="s">
        <v>407</v>
      </c>
      <c r="E32" s="209">
        <f>'11月明細(午餐)'!O103</f>
        <v>37.68151515151515</v>
      </c>
      <c r="F32" s="216" t="s">
        <v>406</v>
      </c>
      <c r="G32" s="217">
        <f>'11月明細(午餐)'!O107</f>
        <v>0</v>
      </c>
      <c r="H32" s="208" t="s">
        <v>407</v>
      </c>
      <c r="I32" s="209">
        <f>'11月明細(午餐)'!O111</f>
        <v>0</v>
      </c>
      <c r="J32" s="216" t="s">
        <v>406</v>
      </c>
      <c r="K32" s="217">
        <f>'11月明細(午餐)'!O115</f>
        <v>0</v>
      </c>
      <c r="L32" s="208" t="s">
        <v>407</v>
      </c>
      <c r="M32" s="209">
        <f>'11月明細(午餐)'!O119</f>
        <v>0</v>
      </c>
      <c r="N32" s="216" t="s">
        <v>406</v>
      </c>
      <c r="O32" s="217">
        <f>'11月明細(午餐)'!O123</f>
        <v>125.26428571428571</v>
      </c>
      <c r="P32" s="208" t="s">
        <v>407</v>
      </c>
      <c r="Q32" s="209">
        <f>'11月明細(午餐)'!O127</f>
        <v>36.352965367965361</v>
      </c>
      <c r="R32" s="216" t="s">
        <v>406</v>
      </c>
      <c r="S32" s="217">
        <f>'11月明細(午餐)'!O131</f>
        <v>124.36043956043956</v>
      </c>
      <c r="T32" s="208" t="s">
        <v>407</v>
      </c>
      <c r="U32" s="209">
        <f>'11月明細(午餐)'!O135</f>
        <v>36.371904761904759</v>
      </c>
    </row>
    <row r="33" spans="1:21" s="210" customFormat="1" ht="10.95" customHeight="1" thickBot="1">
      <c r="A33" s="272"/>
      <c r="B33" s="218" t="s">
        <v>408</v>
      </c>
      <c r="C33" s="212">
        <f>'11月明細(午餐)'!O101</f>
        <v>26.762987012987011</v>
      </c>
      <c r="D33" s="213" t="s">
        <v>409</v>
      </c>
      <c r="E33" s="214">
        <f>'11月明細(午餐)'!O105</f>
        <v>885.19294372294382</v>
      </c>
      <c r="F33" s="218" t="s">
        <v>408</v>
      </c>
      <c r="G33" s="212">
        <f>'11月明細(午餐)'!O109</f>
        <v>12</v>
      </c>
      <c r="H33" s="213" t="s">
        <v>409</v>
      </c>
      <c r="I33" s="214">
        <f>'11月明細(午餐)'!O113</f>
        <v>108</v>
      </c>
      <c r="J33" s="218" t="s">
        <v>408</v>
      </c>
      <c r="K33" s="212">
        <f>'11月明細(午餐)'!O117</f>
        <v>12</v>
      </c>
      <c r="L33" s="213" t="s">
        <v>409</v>
      </c>
      <c r="M33" s="214">
        <f>'11月明細(午餐)'!O121</f>
        <v>108</v>
      </c>
      <c r="N33" s="218" t="s">
        <v>408</v>
      </c>
      <c r="O33" s="212">
        <f>'11月明細(午餐)'!O125</f>
        <v>28.510281385281381</v>
      </c>
      <c r="P33" s="213" t="s">
        <v>409</v>
      </c>
      <c r="Q33" s="214">
        <f>'11月明細(午餐)'!O129</f>
        <v>903.06153679653676</v>
      </c>
      <c r="R33" s="218" t="s">
        <v>408</v>
      </c>
      <c r="S33" s="212">
        <f>'11月明細(午餐)'!O133</f>
        <v>25.75</v>
      </c>
      <c r="T33" s="213" t="s">
        <v>409</v>
      </c>
      <c r="U33" s="214">
        <f>'11月明細(午餐)'!O137</f>
        <v>874.67937728937727</v>
      </c>
    </row>
    <row r="34" spans="1:21" s="158" customFormat="1" ht="21.05" customHeight="1">
      <c r="A34" s="260" t="s">
        <v>302</v>
      </c>
      <c r="B34" s="273">
        <f>R24+3</f>
        <v>44158</v>
      </c>
      <c r="C34" s="274"/>
      <c r="D34" s="266" t="s">
        <v>410</v>
      </c>
      <c r="E34" s="267"/>
      <c r="F34" s="273">
        <f>B34+1</f>
        <v>44159</v>
      </c>
      <c r="G34" s="274"/>
      <c r="H34" s="266" t="s">
        <v>90</v>
      </c>
      <c r="I34" s="267"/>
      <c r="J34" s="273">
        <f>F34+1</f>
        <v>44160</v>
      </c>
      <c r="K34" s="274"/>
      <c r="L34" s="266" t="s">
        <v>411</v>
      </c>
      <c r="M34" s="267"/>
      <c r="N34" s="273">
        <f>J34+1</f>
        <v>44161</v>
      </c>
      <c r="O34" s="274"/>
      <c r="P34" s="266" t="s">
        <v>412</v>
      </c>
      <c r="Q34" s="267"/>
      <c r="R34" s="273">
        <f>N34+1</f>
        <v>44162</v>
      </c>
      <c r="S34" s="274"/>
      <c r="T34" s="266" t="s">
        <v>383</v>
      </c>
      <c r="U34" s="267"/>
    </row>
    <row r="35" spans="1:21" s="158" customFormat="1" ht="19.149999999999999" customHeight="1">
      <c r="A35" s="261"/>
      <c r="B35" s="263" t="s">
        <v>449</v>
      </c>
      <c r="C35" s="264"/>
      <c r="D35" s="264"/>
      <c r="E35" s="265"/>
      <c r="F35" s="263" t="s">
        <v>439</v>
      </c>
      <c r="G35" s="264"/>
      <c r="H35" s="264"/>
      <c r="I35" s="265"/>
      <c r="J35" s="263" t="s">
        <v>451</v>
      </c>
      <c r="K35" s="264"/>
      <c r="L35" s="264"/>
      <c r="M35" s="265"/>
      <c r="N35" s="263" t="s">
        <v>431</v>
      </c>
      <c r="O35" s="264"/>
      <c r="P35" s="264"/>
      <c r="Q35" s="265"/>
      <c r="R35" s="263" t="s">
        <v>100</v>
      </c>
      <c r="S35" s="264"/>
      <c r="T35" s="264"/>
      <c r="U35" s="265"/>
    </row>
    <row r="36" spans="1:21" s="158" customFormat="1" ht="19.149999999999999" customHeight="1">
      <c r="A36" s="261"/>
      <c r="B36" s="254" t="s">
        <v>459</v>
      </c>
      <c r="C36" s="255"/>
      <c r="D36" s="255"/>
      <c r="E36" s="256"/>
      <c r="F36" s="254" t="s">
        <v>413</v>
      </c>
      <c r="G36" s="255"/>
      <c r="H36" s="255"/>
      <c r="I36" s="256"/>
      <c r="J36" s="254" t="s">
        <v>635</v>
      </c>
      <c r="K36" s="255"/>
      <c r="L36" s="255"/>
      <c r="M36" s="256"/>
      <c r="N36" s="254" t="s">
        <v>443</v>
      </c>
      <c r="O36" s="255"/>
      <c r="P36" s="255"/>
      <c r="Q36" s="256"/>
      <c r="R36" s="254" t="s">
        <v>414</v>
      </c>
      <c r="S36" s="255"/>
      <c r="T36" s="255"/>
      <c r="U36" s="256"/>
    </row>
    <row r="37" spans="1:21" s="158" customFormat="1" ht="19.149999999999999" customHeight="1">
      <c r="A37" s="261"/>
      <c r="B37" s="254"/>
      <c r="C37" s="255"/>
      <c r="D37" s="255"/>
      <c r="E37" s="256"/>
      <c r="F37" s="254"/>
      <c r="G37" s="255"/>
      <c r="H37" s="255"/>
      <c r="I37" s="256"/>
      <c r="J37" s="254"/>
      <c r="K37" s="255"/>
      <c r="L37" s="255"/>
      <c r="M37" s="256"/>
      <c r="N37" s="254"/>
      <c r="O37" s="255"/>
      <c r="P37" s="255"/>
      <c r="Q37" s="256"/>
      <c r="R37" s="254"/>
      <c r="S37" s="255"/>
      <c r="T37" s="255"/>
      <c r="U37" s="256"/>
    </row>
    <row r="38" spans="1:21" s="158" customFormat="1" ht="19.149999999999999" customHeight="1">
      <c r="A38" s="261"/>
      <c r="B38" s="257" t="s">
        <v>348</v>
      </c>
      <c r="C38" s="258"/>
      <c r="D38" s="258"/>
      <c r="E38" s="259"/>
      <c r="F38" s="257" t="s">
        <v>349</v>
      </c>
      <c r="G38" s="258"/>
      <c r="H38" s="258"/>
      <c r="I38" s="259"/>
      <c r="J38" s="257" t="s">
        <v>466</v>
      </c>
      <c r="K38" s="258"/>
      <c r="L38" s="258"/>
      <c r="M38" s="259"/>
      <c r="N38" s="257" t="s">
        <v>444</v>
      </c>
      <c r="O38" s="258"/>
      <c r="P38" s="258"/>
      <c r="Q38" s="259"/>
      <c r="R38" s="257" t="s">
        <v>283</v>
      </c>
      <c r="S38" s="258"/>
      <c r="T38" s="258"/>
      <c r="U38" s="259"/>
    </row>
    <row r="39" spans="1:21" s="158" customFormat="1" ht="19.149999999999999" customHeight="1">
      <c r="A39" s="261"/>
      <c r="B39" s="257" t="s">
        <v>460</v>
      </c>
      <c r="C39" s="258"/>
      <c r="D39" s="258"/>
      <c r="E39" s="259"/>
      <c r="F39" s="257" t="s">
        <v>350</v>
      </c>
      <c r="G39" s="258"/>
      <c r="H39" s="258"/>
      <c r="I39" s="259"/>
      <c r="J39" s="257" t="s">
        <v>467</v>
      </c>
      <c r="K39" s="258"/>
      <c r="L39" s="258"/>
      <c r="M39" s="259"/>
      <c r="N39" s="257" t="s">
        <v>415</v>
      </c>
      <c r="O39" s="258"/>
      <c r="P39" s="258"/>
      <c r="Q39" s="259"/>
      <c r="R39" s="257" t="s">
        <v>416</v>
      </c>
      <c r="S39" s="258"/>
      <c r="T39" s="258"/>
      <c r="U39" s="259"/>
    </row>
    <row r="40" spans="1:21" s="158" customFormat="1" ht="19.149999999999999" customHeight="1">
      <c r="A40" s="261"/>
      <c r="B40" s="242" t="s">
        <v>417</v>
      </c>
      <c r="C40" s="243"/>
      <c r="D40" s="243"/>
      <c r="E40" s="244"/>
      <c r="F40" s="242" t="s">
        <v>665</v>
      </c>
      <c r="G40" s="243"/>
      <c r="H40" s="243"/>
      <c r="I40" s="244"/>
      <c r="J40" s="242" t="s">
        <v>21</v>
      </c>
      <c r="K40" s="243"/>
      <c r="L40" s="243"/>
      <c r="M40" s="244"/>
      <c r="N40" s="242" t="s">
        <v>418</v>
      </c>
      <c r="O40" s="243"/>
      <c r="P40" s="243"/>
      <c r="Q40" s="244"/>
      <c r="R40" s="242" t="s">
        <v>474</v>
      </c>
      <c r="S40" s="243"/>
      <c r="T40" s="243"/>
      <c r="U40" s="244"/>
    </row>
    <row r="41" spans="1:21" s="158" customFormat="1" ht="19.149999999999999" customHeight="1" thickBot="1">
      <c r="A41" s="262"/>
      <c r="B41" s="245" t="s">
        <v>335</v>
      </c>
      <c r="C41" s="246"/>
      <c r="D41" s="246"/>
      <c r="E41" s="247"/>
      <c r="F41" s="245" t="s">
        <v>351</v>
      </c>
      <c r="G41" s="246"/>
      <c r="H41" s="246"/>
      <c r="I41" s="247"/>
      <c r="J41" s="245" t="s">
        <v>472</v>
      </c>
      <c r="K41" s="246"/>
      <c r="L41" s="246"/>
      <c r="M41" s="247"/>
      <c r="N41" s="245" t="s">
        <v>445</v>
      </c>
      <c r="O41" s="246"/>
      <c r="P41" s="246"/>
      <c r="Q41" s="247"/>
      <c r="R41" s="245" t="s">
        <v>468</v>
      </c>
      <c r="S41" s="246"/>
      <c r="T41" s="246"/>
      <c r="U41" s="247"/>
    </row>
    <row r="42" spans="1:21" s="210" customFormat="1" ht="10.95" customHeight="1">
      <c r="A42" s="275" t="s">
        <v>352</v>
      </c>
      <c r="B42" s="216" t="s">
        <v>419</v>
      </c>
      <c r="C42" s="217">
        <f>'11月明細(午餐)'!O146</f>
        <v>122.46470588235293</v>
      </c>
      <c r="D42" s="208" t="s">
        <v>420</v>
      </c>
      <c r="E42" s="209">
        <f>'11月明細(午餐)'!O150</f>
        <v>37.608248663101605</v>
      </c>
      <c r="F42" s="216" t="s">
        <v>419</v>
      </c>
      <c r="G42" s="217">
        <f>'11月明細(午餐)'!O154</f>
        <v>120.6</v>
      </c>
      <c r="H42" s="208" t="s">
        <v>355</v>
      </c>
      <c r="I42" s="209">
        <f>'11月明細(午餐)'!O158</f>
        <v>36.915454545454544</v>
      </c>
      <c r="J42" s="216" t="s">
        <v>419</v>
      </c>
      <c r="K42" s="217">
        <f>'11月明細(午餐)'!O162</f>
        <v>121.29059469941824</v>
      </c>
      <c r="L42" s="208" t="s">
        <v>420</v>
      </c>
      <c r="M42" s="209">
        <f>'11月明細(午餐)'!O166</f>
        <v>37.333361344537813</v>
      </c>
      <c r="N42" s="216" t="s">
        <v>419</v>
      </c>
      <c r="O42" s="217">
        <f>'11月明細(午餐)'!O170</f>
        <v>125.8</v>
      </c>
      <c r="P42" s="208" t="s">
        <v>420</v>
      </c>
      <c r="Q42" s="209">
        <f>'11月明細(午餐)'!O174</f>
        <v>38.22818181818181</v>
      </c>
      <c r="R42" s="216" t="s">
        <v>419</v>
      </c>
      <c r="S42" s="217">
        <f>'11月明細(午餐)'!O178</f>
        <v>120.6</v>
      </c>
      <c r="T42" s="208" t="s">
        <v>420</v>
      </c>
      <c r="U42" s="209">
        <f>'11月明細(午餐)'!O182</f>
        <v>36.506363636363638</v>
      </c>
    </row>
    <row r="43" spans="1:21" s="210" customFormat="1" ht="10.95" customHeight="1" thickBot="1">
      <c r="A43" s="272"/>
      <c r="B43" s="218" t="s">
        <v>421</v>
      </c>
      <c r="C43" s="212">
        <f>'11月明細(午餐)'!O148</f>
        <v>26.809253246753247</v>
      </c>
      <c r="D43" s="213" t="s">
        <v>422</v>
      </c>
      <c r="E43" s="214">
        <f>'11月明細(午餐)'!O152</f>
        <v>881.57509740259741</v>
      </c>
      <c r="F43" s="218" t="s">
        <v>421</v>
      </c>
      <c r="G43" s="212">
        <f>'11月明細(午餐)'!O156</f>
        <v>26.496753246753247</v>
      </c>
      <c r="H43" s="213" t="s">
        <v>422</v>
      </c>
      <c r="I43" s="214">
        <f>'11月明細(午餐)'!O160</f>
        <v>868.53259740259739</v>
      </c>
      <c r="J43" s="218" t="s">
        <v>421</v>
      </c>
      <c r="K43" s="212">
        <f>'11月明細(午餐)'!O164</f>
        <v>26.714285714285715</v>
      </c>
      <c r="L43" s="213" t="s">
        <v>422</v>
      </c>
      <c r="M43" s="214">
        <f>'11月明細(午餐)'!O168</f>
        <v>874.92439560439561</v>
      </c>
      <c r="N43" s="218" t="s">
        <v>421</v>
      </c>
      <c r="O43" s="212">
        <f>'11月明細(午餐)'!O172</f>
        <v>27.370129870129869</v>
      </c>
      <c r="P43" s="213" t="s">
        <v>422</v>
      </c>
      <c r="Q43" s="214">
        <f>'11月明細(午餐)'!O176</f>
        <v>902.44389610389612</v>
      </c>
      <c r="R43" s="218" t="s">
        <v>421</v>
      </c>
      <c r="S43" s="212">
        <f>'11月明細(午餐)'!O180</f>
        <v>26.204545454545453</v>
      </c>
      <c r="T43" s="213" t="s">
        <v>422</v>
      </c>
      <c r="U43" s="214">
        <f>'11月明細(午餐)'!O184</f>
        <v>864.26636363636362</v>
      </c>
    </row>
    <row r="44" spans="1:21" s="158" customFormat="1" ht="21.05" customHeight="1">
      <c r="A44" s="260" t="s">
        <v>303</v>
      </c>
      <c r="B44" s="273">
        <f>R34+3</f>
        <v>44165</v>
      </c>
      <c r="C44" s="274"/>
      <c r="D44" s="266" t="s">
        <v>52</v>
      </c>
      <c r="E44" s="267"/>
      <c r="F44" s="273">
        <f>B44+1</f>
        <v>44166</v>
      </c>
      <c r="G44" s="274"/>
      <c r="H44" s="266" t="s">
        <v>90</v>
      </c>
      <c r="I44" s="267"/>
      <c r="J44" s="273">
        <f>F44+1</f>
        <v>44167</v>
      </c>
      <c r="K44" s="274"/>
      <c r="L44" s="266" t="s">
        <v>276</v>
      </c>
      <c r="M44" s="267"/>
      <c r="N44" s="273">
        <f>J44+1</f>
        <v>44168</v>
      </c>
      <c r="O44" s="274"/>
      <c r="P44" s="266" t="s">
        <v>423</v>
      </c>
      <c r="Q44" s="267"/>
      <c r="R44" s="273">
        <f>N44+1</f>
        <v>44169</v>
      </c>
      <c r="S44" s="274"/>
      <c r="T44" s="266" t="s">
        <v>424</v>
      </c>
      <c r="U44" s="267"/>
    </row>
    <row r="45" spans="1:21" s="159" customFormat="1" ht="19.149999999999999" customHeight="1">
      <c r="A45" s="261"/>
      <c r="B45" s="263" t="s">
        <v>449</v>
      </c>
      <c r="C45" s="264"/>
      <c r="D45" s="264"/>
      <c r="E45" s="265"/>
      <c r="F45" s="263"/>
      <c r="G45" s="264"/>
      <c r="H45" s="264"/>
      <c r="I45" s="265"/>
      <c r="J45" s="263"/>
      <c r="K45" s="264"/>
      <c r="L45" s="264"/>
      <c r="M45" s="265"/>
      <c r="N45" s="263"/>
      <c r="O45" s="264"/>
      <c r="P45" s="264"/>
      <c r="Q45" s="265"/>
      <c r="R45" s="263"/>
      <c r="S45" s="264"/>
      <c r="T45" s="264"/>
      <c r="U45" s="265"/>
    </row>
    <row r="46" spans="1:21" s="159" customFormat="1" ht="19.149999999999999" customHeight="1">
      <c r="A46" s="261"/>
      <c r="B46" s="254" t="s">
        <v>446</v>
      </c>
      <c r="C46" s="255"/>
      <c r="D46" s="255"/>
      <c r="E46" s="256"/>
      <c r="F46" s="254"/>
      <c r="G46" s="255"/>
      <c r="H46" s="255"/>
      <c r="I46" s="256"/>
      <c r="J46" s="254"/>
      <c r="K46" s="255"/>
      <c r="L46" s="255"/>
      <c r="M46" s="256"/>
      <c r="N46" s="254"/>
      <c r="O46" s="255"/>
      <c r="P46" s="255"/>
      <c r="Q46" s="256"/>
      <c r="R46" s="254"/>
      <c r="S46" s="255"/>
      <c r="T46" s="255"/>
      <c r="U46" s="256"/>
    </row>
    <row r="47" spans="1:21" s="159" customFormat="1" ht="19.149999999999999" customHeight="1">
      <c r="A47" s="261"/>
      <c r="B47" s="254"/>
      <c r="C47" s="255"/>
      <c r="D47" s="255"/>
      <c r="E47" s="256"/>
      <c r="F47" s="254"/>
      <c r="G47" s="255"/>
      <c r="H47" s="255"/>
      <c r="I47" s="256"/>
      <c r="J47" s="254"/>
      <c r="K47" s="255"/>
      <c r="L47" s="255"/>
      <c r="M47" s="256"/>
      <c r="N47" s="254"/>
      <c r="O47" s="255"/>
      <c r="P47" s="255"/>
      <c r="Q47" s="256"/>
      <c r="R47" s="254"/>
      <c r="S47" s="255"/>
      <c r="T47" s="255"/>
      <c r="U47" s="256"/>
    </row>
    <row r="48" spans="1:21" s="159" customFormat="1" ht="19.149999999999999" customHeight="1">
      <c r="A48" s="261"/>
      <c r="B48" s="257" t="s">
        <v>448</v>
      </c>
      <c r="C48" s="258"/>
      <c r="D48" s="258"/>
      <c r="E48" s="259"/>
      <c r="F48" s="257"/>
      <c r="G48" s="258"/>
      <c r="H48" s="258"/>
      <c r="I48" s="259"/>
      <c r="J48" s="257"/>
      <c r="K48" s="258"/>
      <c r="L48" s="258"/>
      <c r="M48" s="259"/>
      <c r="N48" s="257"/>
      <c r="O48" s="258"/>
      <c r="P48" s="258"/>
      <c r="Q48" s="259"/>
      <c r="R48" s="257"/>
      <c r="S48" s="258"/>
      <c r="T48" s="258"/>
      <c r="U48" s="259"/>
    </row>
    <row r="49" spans="1:21" s="159" customFormat="1" ht="19.149999999999999" customHeight="1">
      <c r="A49" s="261"/>
      <c r="B49" s="257" t="s">
        <v>461</v>
      </c>
      <c r="C49" s="258"/>
      <c r="D49" s="258"/>
      <c r="E49" s="259"/>
      <c r="F49" s="257"/>
      <c r="G49" s="258"/>
      <c r="H49" s="258"/>
      <c r="I49" s="259"/>
      <c r="J49" s="257"/>
      <c r="K49" s="258"/>
      <c r="L49" s="258"/>
      <c r="M49" s="259"/>
      <c r="N49" s="257"/>
      <c r="O49" s="258"/>
      <c r="P49" s="258"/>
      <c r="Q49" s="259"/>
      <c r="R49" s="257"/>
      <c r="S49" s="258"/>
      <c r="T49" s="258"/>
      <c r="U49" s="259"/>
    </row>
    <row r="50" spans="1:21" s="159" customFormat="1" ht="19.149999999999999" customHeight="1">
      <c r="A50" s="261"/>
      <c r="B50" s="242" t="s">
        <v>665</v>
      </c>
      <c r="C50" s="243"/>
      <c r="D50" s="243"/>
      <c r="E50" s="244"/>
      <c r="F50" s="242"/>
      <c r="G50" s="243"/>
      <c r="H50" s="243"/>
      <c r="I50" s="244"/>
      <c r="J50" s="242"/>
      <c r="K50" s="243"/>
      <c r="L50" s="243"/>
      <c r="M50" s="244"/>
      <c r="N50" s="242"/>
      <c r="O50" s="243"/>
      <c r="P50" s="243"/>
      <c r="Q50" s="244"/>
      <c r="R50" s="242"/>
      <c r="S50" s="243"/>
      <c r="T50" s="243"/>
      <c r="U50" s="244"/>
    </row>
    <row r="51" spans="1:21" s="159" customFormat="1" ht="19.149999999999999" customHeight="1" thickBot="1">
      <c r="A51" s="262"/>
      <c r="B51" s="245" t="s">
        <v>425</v>
      </c>
      <c r="C51" s="246"/>
      <c r="D51" s="246"/>
      <c r="E51" s="247"/>
      <c r="F51" s="245"/>
      <c r="G51" s="246"/>
      <c r="H51" s="246"/>
      <c r="I51" s="247"/>
      <c r="J51" s="245"/>
      <c r="K51" s="246"/>
      <c r="L51" s="246"/>
      <c r="M51" s="247"/>
      <c r="N51" s="245"/>
      <c r="O51" s="246"/>
      <c r="P51" s="246"/>
      <c r="Q51" s="247"/>
      <c r="R51" s="245"/>
      <c r="S51" s="246"/>
      <c r="T51" s="246"/>
      <c r="U51" s="247"/>
    </row>
    <row r="52" spans="1:21" s="210" customFormat="1" ht="10.95" customHeight="1">
      <c r="A52" s="275" t="s">
        <v>352</v>
      </c>
      <c r="B52" s="216" t="s">
        <v>358</v>
      </c>
      <c r="C52" s="217">
        <f>'11月明細(午餐)'!O193</f>
        <v>125.16237488002193</v>
      </c>
      <c r="D52" s="208" t="s">
        <v>426</v>
      </c>
      <c r="E52" s="209">
        <f>'11月明細(午餐)'!O197</f>
        <v>36.338526440879377</v>
      </c>
      <c r="F52" s="216" t="s">
        <v>427</v>
      </c>
      <c r="G52" s="217">
        <f>'11月明細(午餐)'!O201</f>
        <v>0</v>
      </c>
      <c r="H52" s="208" t="s">
        <v>426</v>
      </c>
      <c r="I52" s="209">
        <f>'11月明細(午餐)'!O205</f>
        <v>0</v>
      </c>
      <c r="J52" s="216" t="s">
        <v>358</v>
      </c>
      <c r="K52" s="217">
        <f>'11月明細(午餐)'!O209</f>
        <v>0</v>
      </c>
      <c r="L52" s="208" t="s">
        <v>355</v>
      </c>
      <c r="M52" s="209">
        <f>'11月明細(午餐)'!O213</f>
        <v>0</v>
      </c>
      <c r="N52" s="216" t="s">
        <v>428</v>
      </c>
      <c r="O52" s="217">
        <f>'11月明細(午餐)'!O217</f>
        <v>0</v>
      </c>
      <c r="P52" s="208" t="s">
        <v>429</v>
      </c>
      <c r="Q52" s="209">
        <f>'11月明細(午餐)'!O221</f>
        <v>0</v>
      </c>
      <c r="R52" s="216" t="s">
        <v>358</v>
      </c>
      <c r="S52" s="217">
        <f>'11月明細(午餐)'!O225</f>
        <v>0</v>
      </c>
      <c r="T52" s="208" t="s">
        <v>355</v>
      </c>
      <c r="U52" s="209">
        <f>'11月明細(午餐)'!O229</f>
        <v>0</v>
      </c>
    </row>
    <row r="53" spans="1:21" s="210" customFormat="1" ht="10.95" customHeight="1" thickBot="1">
      <c r="A53" s="272"/>
      <c r="B53" s="211" t="s">
        <v>354</v>
      </c>
      <c r="C53" s="215">
        <f>'11月明細(午餐)'!O195</f>
        <v>25.645021645021643</v>
      </c>
      <c r="D53" s="213" t="s">
        <v>357</v>
      </c>
      <c r="E53" s="214">
        <f>'11月明細(午餐)'!O199</f>
        <v>876.80880008880001</v>
      </c>
      <c r="F53" s="211" t="s">
        <v>354</v>
      </c>
      <c r="G53" s="215">
        <f>'11月明細(午餐)'!O203</f>
        <v>0</v>
      </c>
      <c r="H53" s="213" t="s">
        <v>357</v>
      </c>
      <c r="I53" s="214">
        <f>'11月明細(午餐)'!O207</f>
        <v>0</v>
      </c>
      <c r="J53" s="211" t="s">
        <v>354</v>
      </c>
      <c r="K53" s="215">
        <f>'11月明細(午餐)'!O211</f>
        <v>0</v>
      </c>
      <c r="L53" s="213" t="s">
        <v>357</v>
      </c>
      <c r="M53" s="214">
        <f>'11月明細(午餐)'!O215</f>
        <v>0</v>
      </c>
      <c r="N53" s="211" t="s">
        <v>354</v>
      </c>
      <c r="O53" s="215">
        <f>'11月明細(午餐)'!O219</f>
        <v>0</v>
      </c>
      <c r="P53" s="213" t="s">
        <v>357</v>
      </c>
      <c r="Q53" s="214">
        <f>'11月明細(午餐)'!O223</f>
        <v>0</v>
      </c>
      <c r="R53" s="211" t="s">
        <v>354</v>
      </c>
      <c r="S53" s="215">
        <f>'11月明細(午餐)'!O227</f>
        <v>0</v>
      </c>
      <c r="T53" s="213" t="s">
        <v>357</v>
      </c>
      <c r="U53" s="214">
        <f>'11月明細(午餐)'!O231</f>
        <v>0</v>
      </c>
    </row>
    <row r="54" spans="1:21" s="158" customFormat="1" ht="21.05" customHeight="1" thickBot="1">
      <c r="A54" s="248" t="s">
        <v>365</v>
      </c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50"/>
    </row>
    <row r="55" spans="1:21" s="158" customFormat="1" ht="27" customHeight="1" thickBot="1">
      <c r="A55" s="207" t="s">
        <v>361</v>
      </c>
      <c r="B55" s="251" t="s">
        <v>362</v>
      </c>
      <c r="C55" s="251"/>
      <c r="D55" s="251"/>
      <c r="E55" s="251"/>
      <c r="F55" s="251" t="s">
        <v>363</v>
      </c>
      <c r="G55" s="251"/>
      <c r="H55" s="251"/>
      <c r="I55" s="251"/>
      <c r="J55" s="252" t="s">
        <v>364</v>
      </c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3"/>
    </row>
  </sheetData>
  <mergeCells count="225">
    <mergeCell ref="B24:C24"/>
    <mergeCell ref="D24:E24"/>
    <mergeCell ref="T44:U44"/>
    <mergeCell ref="B34:C34"/>
    <mergeCell ref="D34:E34"/>
    <mergeCell ref="F34:G34"/>
    <mergeCell ref="H34:I34"/>
    <mergeCell ref="J34:K34"/>
    <mergeCell ref="L34:M34"/>
    <mergeCell ref="N34:O34"/>
    <mergeCell ref="P34:Q34"/>
    <mergeCell ref="R34:S34"/>
    <mergeCell ref="R41:U41"/>
    <mergeCell ref="B44:C44"/>
    <mergeCell ref="D44:E44"/>
    <mergeCell ref="F44:G44"/>
    <mergeCell ref="H44:I44"/>
    <mergeCell ref="J44:K44"/>
    <mergeCell ref="L44:M44"/>
    <mergeCell ref="N44:O44"/>
    <mergeCell ref="P44:Q44"/>
    <mergeCell ref="R44:S44"/>
    <mergeCell ref="H24:I24"/>
    <mergeCell ref="J24:K24"/>
    <mergeCell ref="L24:M24"/>
    <mergeCell ref="N24:O24"/>
    <mergeCell ref="P24:Q24"/>
    <mergeCell ref="R24:S24"/>
    <mergeCell ref="L2:M2"/>
    <mergeCell ref="N2:O2"/>
    <mergeCell ref="R2:S2"/>
    <mergeCell ref="P2:Q2"/>
    <mergeCell ref="N7:Q7"/>
    <mergeCell ref="R7:U7"/>
    <mergeCell ref="R11:U11"/>
    <mergeCell ref="R16:U17"/>
    <mergeCell ref="R21:U21"/>
    <mergeCell ref="B18:E18"/>
    <mergeCell ref="F18:I18"/>
    <mergeCell ref="J18:M18"/>
    <mergeCell ref="N18:Q18"/>
    <mergeCell ref="R18:U18"/>
    <mergeCell ref="R14:S14"/>
    <mergeCell ref="T14:U14"/>
    <mergeCell ref="T24:U24"/>
    <mergeCell ref="T2:U2"/>
    <mergeCell ref="L14:M14"/>
    <mergeCell ref="N14:O14"/>
    <mergeCell ref="P14:Q14"/>
    <mergeCell ref="D2:E2"/>
    <mergeCell ref="B2:C2"/>
    <mergeCell ref="N15:Q15"/>
    <mergeCell ref="R15:U15"/>
    <mergeCell ref="N16:Q17"/>
    <mergeCell ref="N19:Q19"/>
    <mergeCell ref="R19:U19"/>
    <mergeCell ref="N20:Q20"/>
    <mergeCell ref="R20:U20"/>
    <mergeCell ref="J21:M21"/>
    <mergeCell ref="N21:Q21"/>
    <mergeCell ref="F24:G24"/>
    <mergeCell ref="A22:A23"/>
    <mergeCell ref="A32:A33"/>
    <mergeCell ref="A42:A43"/>
    <mergeCell ref="A52:A53"/>
    <mergeCell ref="B14:C14"/>
    <mergeCell ref="D14:E14"/>
    <mergeCell ref="F14:G14"/>
    <mergeCell ref="H14:I14"/>
    <mergeCell ref="J14:K14"/>
    <mergeCell ref="A14:A21"/>
    <mergeCell ref="B15:E15"/>
    <mergeCell ref="F15:I15"/>
    <mergeCell ref="J15:M15"/>
    <mergeCell ref="B16:E17"/>
    <mergeCell ref="F16:I17"/>
    <mergeCell ref="J16:M17"/>
    <mergeCell ref="B19:E19"/>
    <mergeCell ref="F19:I19"/>
    <mergeCell ref="J19:M19"/>
    <mergeCell ref="B20:E20"/>
    <mergeCell ref="F20:I20"/>
    <mergeCell ref="J20:M20"/>
    <mergeCell ref="B21:E21"/>
    <mergeCell ref="F21:I21"/>
    <mergeCell ref="A12:A13"/>
    <mergeCell ref="F2:G2"/>
    <mergeCell ref="H2:I2"/>
    <mergeCell ref="J2:K2"/>
    <mergeCell ref="N4:Q5"/>
    <mergeCell ref="R4:U5"/>
    <mergeCell ref="B7:E7"/>
    <mergeCell ref="F7:I7"/>
    <mergeCell ref="J7:M7"/>
    <mergeCell ref="B6:E6"/>
    <mergeCell ref="B8:E8"/>
    <mergeCell ref="F6:I6"/>
    <mergeCell ref="F8:I8"/>
    <mergeCell ref="J6:M6"/>
    <mergeCell ref="J8:M8"/>
    <mergeCell ref="N6:Q6"/>
    <mergeCell ref="N8:Q8"/>
    <mergeCell ref="R6:U6"/>
    <mergeCell ref="R8:U8"/>
    <mergeCell ref="A1:U1"/>
    <mergeCell ref="A2:A11"/>
    <mergeCell ref="B3:E3"/>
    <mergeCell ref="F3:I3"/>
    <mergeCell ref="J3:M3"/>
    <mergeCell ref="N3:Q3"/>
    <mergeCell ref="R3:U3"/>
    <mergeCell ref="B4:E5"/>
    <mergeCell ref="F4:I5"/>
    <mergeCell ref="J4:M5"/>
    <mergeCell ref="B9:E9"/>
    <mergeCell ref="F9:I9"/>
    <mergeCell ref="J9:M9"/>
    <mergeCell ref="N9:Q9"/>
    <mergeCell ref="R9:U9"/>
    <mergeCell ref="B10:E10"/>
    <mergeCell ref="F10:I10"/>
    <mergeCell ref="J10:M10"/>
    <mergeCell ref="N10:Q10"/>
    <mergeCell ref="R10:U10"/>
    <mergeCell ref="B11:E11"/>
    <mergeCell ref="F11:I11"/>
    <mergeCell ref="J11:M11"/>
    <mergeCell ref="N11:Q11"/>
    <mergeCell ref="R26:U27"/>
    <mergeCell ref="B28:E28"/>
    <mergeCell ref="F28:I28"/>
    <mergeCell ref="J28:M28"/>
    <mergeCell ref="N28:Q28"/>
    <mergeCell ref="R28:U28"/>
    <mergeCell ref="A24:A31"/>
    <mergeCell ref="B25:E25"/>
    <mergeCell ref="F25:I25"/>
    <mergeCell ref="J25:M25"/>
    <mergeCell ref="N25:Q25"/>
    <mergeCell ref="R25:U25"/>
    <mergeCell ref="B26:E27"/>
    <mergeCell ref="F26:I27"/>
    <mergeCell ref="J26:M27"/>
    <mergeCell ref="N26:Q27"/>
    <mergeCell ref="B29:E29"/>
    <mergeCell ref="F29:I29"/>
    <mergeCell ref="J29:M29"/>
    <mergeCell ref="N29:Q29"/>
    <mergeCell ref="R29:U29"/>
    <mergeCell ref="B30:E30"/>
    <mergeCell ref="F30:I30"/>
    <mergeCell ref="J30:M30"/>
    <mergeCell ref="N30:Q30"/>
    <mergeCell ref="R30:U30"/>
    <mergeCell ref="B31:E31"/>
    <mergeCell ref="F31:I31"/>
    <mergeCell ref="J31:M31"/>
    <mergeCell ref="N31:Q31"/>
    <mergeCell ref="R31:U31"/>
    <mergeCell ref="R36:U37"/>
    <mergeCell ref="B38:E38"/>
    <mergeCell ref="F38:I38"/>
    <mergeCell ref="J38:M38"/>
    <mergeCell ref="N38:Q38"/>
    <mergeCell ref="R38:U38"/>
    <mergeCell ref="T34:U34"/>
    <mergeCell ref="A34:A41"/>
    <mergeCell ref="B35:E35"/>
    <mergeCell ref="F35:I35"/>
    <mergeCell ref="J35:M35"/>
    <mergeCell ref="N35:Q35"/>
    <mergeCell ref="R35:U35"/>
    <mergeCell ref="B36:E37"/>
    <mergeCell ref="F36:I37"/>
    <mergeCell ref="J36:M37"/>
    <mergeCell ref="N36:Q37"/>
    <mergeCell ref="B39:E39"/>
    <mergeCell ref="F39:I39"/>
    <mergeCell ref="J39:M39"/>
    <mergeCell ref="N39:Q39"/>
    <mergeCell ref="R39:U39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6:U47"/>
    <mergeCell ref="B48:E48"/>
    <mergeCell ref="F48:I48"/>
    <mergeCell ref="J48:M48"/>
    <mergeCell ref="N48:Q48"/>
    <mergeCell ref="R48:U48"/>
    <mergeCell ref="A44:A51"/>
    <mergeCell ref="B45:E45"/>
    <mergeCell ref="F45:I45"/>
    <mergeCell ref="J45:M45"/>
    <mergeCell ref="N45:Q45"/>
    <mergeCell ref="R45:U45"/>
    <mergeCell ref="B46:E47"/>
    <mergeCell ref="F46:I47"/>
    <mergeCell ref="J46:M47"/>
    <mergeCell ref="N46:Q47"/>
    <mergeCell ref="B49:E49"/>
    <mergeCell ref="F49:I49"/>
    <mergeCell ref="J49:M49"/>
    <mergeCell ref="N49:Q49"/>
    <mergeCell ref="R49:U49"/>
    <mergeCell ref="B50:E50"/>
    <mergeCell ref="F50:I50"/>
    <mergeCell ref="J50:M50"/>
    <mergeCell ref="N50:Q50"/>
    <mergeCell ref="R50:U50"/>
    <mergeCell ref="B51:E51"/>
    <mergeCell ref="F51:I51"/>
    <mergeCell ref="J51:M51"/>
    <mergeCell ref="N51:Q51"/>
    <mergeCell ref="R51:U51"/>
    <mergeCell ref="A54:U54"/>
    <mergeCell ref="B55:E55"/>
    <mergeCell ref="F55:I55"/>
    <mergeCell ref="J55:U55"/>
  </mergeCells>
  <phoneticPr fontId="3" type="noConversion"/>
  <printOptions horizontalCentered="1" verticalCentered="1"/>
  <pageMargins left="0.19685039370078741" right="0.19685039370078741" top="7.874015748031496E-2" bottom="0" header="0.31496062992125984" footer="0.31496062992125984"/>
  <pageSetup paperSize="9" scale="7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236"/>
  <sheetViews>
    <sheetView view="pageBreakPreview" topLeftCell="A178" zoomScale="90" zoomScaleNormal="70" zoomScaleSheetLayoutView="90" workbookViewId="0">
      <selection activeCell="J193" sqref="J193"/>
    </sheetView>
  </sheetViews>
  <sheetFormatPr defaultRowHeight="16.100000000000001"/>
  <cols>
    <col min="1" max="1" width="3.5" style="157" customWidth="1"/>
    <col min="2" max="2" width="8.19921875" style="157" bestFit="1" customWidth="1"/>
    <col min="3" max="3" width="6.59765625" style="157" customWidth="1"/>
    <col min="4" max="4" width="7.69921875" customWidth="1"/>
    <col min="5" max="5" width="6.3984375" style="43" customWidth="1"/>
    <col min="6" max="6" width="8.59765625" customWidth="1"/>
    <col min="7" max="7" width="6.3984375" style="43" customWidth="1"/>
    <col min="8" max="8" width="8.69921875" customWidth="1"/>
    <col min="9" max="9" width="6.3984375" style="43" customWidth="1"/>
    <col min="10" max="10" width="8.19921875" customWidth="1"/>
    <col min="11" max="11" width="6.5" style="43" customWidth="1"/>
    <col min="12" max="12" width="7.5" customWidth="1"/>
    <col min="13" max="13" width="6.59765625" style="43" customWidth="1"/>
    <col min="14" max="14" width="3.19921875" style="43" customWidth="1"/>
    <col min="15" max="15" width="7.59765625" customWidth="1"/>
    <col min="16" max="16" width="20.19921875" bestFit="1" customWidth="1"/>
    <col min="17" max="17" width="6.8984375" customWidth="1"/>
    <col min="18" max="18" width="5.59765625" customWidth="1"/>
    <col min="20" max="20" width="7.59765625" customWidth="1"/>
  </cols>
  <sheetData>
    <row r="1" spans="1:22" ht="22.75" thickBot="1">
      <c r="A1" s="279" t="s">
        <v>0</v>
      </c>
      <c r="B1" s="279"/>
      <c r="C1" s="279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192"/>
      <c r="O1" s="179" t="s">
        <v>633</v>
      </c>
    </row>
    <row r="2" spans="1:22" ht="33.799999999999997" thickBot="1">
      <c r="A2" s="1" t="s">
        <v>1</v>
      </c>
      <c r="B2" s="178" t="s">
        <v>10</v>
      </c>
      <c r="C2" s="2" t="s">
        <v>3</v>
      </c>
      <c r="D2" s="178" t="s">
        <v>2</v>
      </c>
      <c r="E2" s="2" t="s">
        <v>3</v>
      </c>
      <c r="F2" s="178" t="s">
        <v>4</v>
      </c>
      <c r="G2" s="2" t="s">
        <v>3</v>
      </c>
      <c r="H2" s="178" t="s">
        <v>5</v>
      </c>
      <c r="I2" s="2" t="s">
        <v>6</v>
      </c>
      <c r="J2" s="178" t="s">
        <v>7</v>
      </c>
      <c r="K2" s="2" t="s">
        <v>3</v>
      </c>
      <c r="L2" s="178" t="s">
        <v>8</v>
      </c>
      <c r="M2" s="190" t="s">
        <v>9</v>
      </c>
      <c r="N2" s="194" t="s">
        <v>330</v>
      </c>
      <c r="O2" s="194" t="s">
        <v>329</v>
      </c>
      <c r="P2" s="299" t="s">
        <v>11</v>
      </c>
      <c r="Q2" s="300"/>
      <c r="R2" s="300"/>
      <c r="S2" s="300"/>
      <c r="T2" s="300"/>
      <c r="U2" s="300"/>
      <c r="V2" s="301"/>
    </row>
    <row r="3" spans="1:22" s="206" customFormat="1" ht="22.85" customHeight="1" thickBot="1">
      <c r="A3" s="295">
        <v>44137</v>
      </c>
      <c r="B3" s="293" t="s">
        <v>14</v>
      </c>
      <c r="C3" s="294"/>
      <c r="D3" s="293" t="s">
        <v>476</v>
      </c>
      <c r="E3" s="294"/>
      <c r="F3" s="296" t="s">
        <v>479</v>
      </c>
      <c r="G3" s="297"/>
      <c r="H3" s="293" t="s">
        <v>632</v>
      </c>
      <c r="I3" s="294"/>
      <c r="J3" s="293" t="s">
        <v>12</v>
      </c>
      <c r="K3" s="294"/>
      <c r="L3" s="293" t="s">
        <v>13</v>
      </c>
      <c r="M3" s="303"/>
      <c r="N3" s="288"/>
      <c r="O3" s="205" t="s">
        <v>18</v>
      </c>
      <c r="P3" s="304" t="s">
        <v>19</v>
      </c>
      <c r="Q3" s="305"/>
      <c r="R3" s="306"/>
      <c r="S3" s="307" t="s">
        <v>20</v>
      </c>
      <c r="T3" s="308"/>
      <c r="U3" s="308"/>
      <c r="V3" s="309"/>
    </row>
    <row r="4" spans="1:22" ht="16.899999999999999" customHeight="1">
      <c r="A4" s="302"/>
      <c r="B4" s="17" t="s">
        <v>23</v>
      </c>
      <c r="C4" s="14">
        <v>110</v>
      </c>
      <c r="D4" s="10" t="s">
        <v>477</v>
      </c>
      <c r="E4" s="161">
        <v>90</v>
      </c>
      <c r="F4" s="111" t="s">
        <v>480</v>
      </c>
      <c r="G4" s="176">
        <v>30</v>
      </c>
      <c r="H4" s="12" t="s">
        <v>481</v>
      </c>
      <c r="I4" s="163">
        <v>30</v>
      </c>
      <c r="J4" s="15" t="s">
        <v>21</v>
      </c>
      <c r="K4" s="175">
        <v>90</v>
      </c>
      <c r="L4" s="12" t="s">
        <v>22</v>
      </c>
      <c r="M4" s="195">
        <v>20</v>
      </c>
      <c r="N4" s="289"/>
      <c r="O4" s="18">
        <f>T5</f>
        <v>126.86928571428571</v>
      </c>
      <c r="P4" s="25" t="s">
        <v>15</v>
      </c>
      <c r="Q4" s="5">
        <f>C4/20+C5/20+G4/90+G8/70</f>
        <v>7.8476190476190473</v>
      </c>
      <c r="R4" s="6" t="s">
        <v>28</v>
      </c>
      <c r="S4" s="7" t="s">
        <v>29</v>
      </c>
      <c r="T4" s="8">
        <f>Q10</f>
        <v>891.54638095238079</v>
      </c>
      <c r="U4" s="6" t="s">
        <v>30</v>
      </c>
      <c r="V4" s="9" t="s">
        <v>31</v>
      </c>
    </row>
    <row r="5" spans="1:22" ht="16.899999999999999" customHeight="1">
      <c r="A5" s="302"/>
      <c r="B5" s="17" t="s">
        <v>34</v>
      </c>
      <c r="C5" s="29">
        <v>40</v>
      </c>
      <c r="D5" s="27"/>
      <c r="E5" s="28"/>
      <c r="F5" s="35" t="s">
        <v>482</v>
      </c>
      <c r="G5" s="36">
        <v>10</v>
      </c>
      <c r="H5" s="30" t="s">
        <v>483</v>
      </c>
      <c r="I5" s="29">
        <v>15</v>
      </c>
      <c r="J5" s="30"/>
      <c r="K5" s="31"/>
      <c r="L5" s="30" t="s">
        <v>33</v>
      </c>
      <c r="M5" s="98">
        <v>5</v>
      </c>
      <c r="N5" s="289"/>
      <c r="O5" s="32" t="s">
        <v>35</v>
      </c>
      <c r="P5" s="19" t="s">
        <v>24</v>
      </c>
      <c r="Q5" s="34">
        <f>E4/40+G6/35</f>
        <v>2.8214285714285712</v>
      </c>
      <c r="R5" s="21" t="s">
        <v>39</v>
      </c>
      <c r="S5" s="22" t="s">
        <v>26</v>
      </c>
      <c r="T5" s="23">
        <f>Q4*15+Q6*5+Q7*15+Q8*12</f>
        <v>126.86928571428571</v>
      </c>
      <c r="U5" s="21" t="s">
        <v>40</v>
      </c>
      <c r="V5" s="24">
        <f>T5*4/T4</f>
        <v>0.56921003068291087</v>
      </c>
    </row>
    <row r="6" spans="1:22" ht="16.899999999999999" customHeight="1">
      <c r="A6" s="302"/>
      <c r="B6" s="17"/>
      <c r="C6" s="29"/>
      <c r="D6" s="35"/>
      <c r="E6" s="36"/>
      <c r="F6" s="40" t="s">
        <v>484</v>
      </c>
      <c r="G6" s="41">
        <v>20</v>
      </c>
      <c r="H6" s="35" t="s">
        <v>485</v>
      </c>
      <c r="I6" s="31">
        <v>5</v>
      </c>
      <c r="J6" s="37"/>
      <c r="K6" s="11"/>
      <c r="L6" s="38" t="s">
        <v>42</v>
      </c>
      <c r="M6" s="89">
        <v>0.1</v>
      </c>
      <c r="N6" s="289"/>
      <c r="O6" s="18">
        <f>T6</f>
        <v>26.107142857142854</v>
      </c>
      <c r="P6" s="33" t="s">
        <v>44</v>
      </c>
      <c r="Q6" s="20">
        <f>(M4+M5+M6+K4+I4+I5+I6+I7+G5+G7)/100</f>
        <v>1.831</v>
      </c>
      <c r="R6" s="21" t="s">
        <v>43</v>
      </c>
      <c r="S6" s="22" t="s">
        <v>38</v>
      </c>
      <c r="T6" s="23">
        <f>Q5*5+Q8*4+Q9*5</f>
        <v>26.107142857142854</v>
      </c>
      <c r="U6" s="21" t="s">
        <v>40</v>
      </c>
      <c r="V6" s="24">
        <f>T6*9/T4</f>
        <v>0.26354690090636529</v>
      </c>
    </row>
    <row r="7" spans="1:22" ht="16.899999999999999" customHeight="1">
      <c r="A7" s="302"/>
      <c r="B7" s="44"/>
      <c r="C7" s="45"/>
      <c r="D7" s="40"/>
      <c r="E7" s="41"/>
      <c r="F7" s="40" t="s">
        <v>485</v>
      </c>
      <c r="G7" s="41">
        <v>5</v>
      </c>
      <c r="H7" s="30" t="s">
        <v>486</v>
      </c>
      <c r="I7" s="11">
        <v>3</v>
      </c>
      <c r="J7" s="37"/>
      <c r="K7" s="11"/>
      <c r="N7" s="289"/>
      <c r="O7" s="32" t="s">
        <v>46</v>
      </c>
      <c r="P7" s="46" t="s">
        <v>49</v>
      </c>
      <c r="Q7" s="39">
        <v>0</v>
      </c>
      <c r="R7" s="21" t="s">
        <v>28</v>
      </c>
      <c r="S7" s="22" t="s">
        <v>50</v>
      </c>
      <c r="T7" s="23">
        <f>Q4*2+Q5*7+Q6*1+Q8*8</f>
        <v>37.276238095238099</v>
      </c>
      <c r="U7" s="21" t="s">
        <v>40</v>
      </c>
      <c r="V7" s="24">
        <f>T7*4/T4</f>
        <v>0.16724306841072398</v>
      </c>
    </row>
    <row r="8" spans="1:22" ht="16.899999999999999" customHeight="1">
      <c r="A8" s="280" t="s">
        <v>52</v>
      </c>
      <c r="B8" s="37"/>
      <c r="C8" s="29"/>
      <c r="D8" s="40"/>
      <c r="E8" s="41"/>
      <c r="F8" s="40" t="s">
        <v>487</v>
      </c>
      <c r="G8" s="42">
        <v>1</v>
      </c>
      <c r="H8" s="30"/>
      <c r="I8" s="11"/>
      <c r="J8" s="37"/>
      <c r="K8" s="11"/>
      <c r="L8" s="49"/>
      <c r="M8" s="89"/>
      <c r="N8" s="289"/>
      <c r="O8" s="18">
        <f>T7</f>
        <v>37.276238095238099</v>
      </c>
      <c r="P8" s="46" t="s">
        <v>47</v>
      </c>
      <c r="Q8" s="39">
        <v>0</v>
      </c>
      <c r="R8" s="21" t="s">
        <v>43</v>
      </c>
      <c r="S8" s="47"/>
      <c r="T8" s="47"/>
      <c r="U8" s="47"/>
      <c r="V8" s="48">
        <f>SUM(V5:V7)</f>
        <v>1.0000000000000002</v>
      </c>
    </row>
    <row r="9" spans="1:22" ht="16.899999999999999" customHeight="1">
      <c r="A9" s="280"/>
      <c r="B9" s="17"/>
      <c r="C9" s="29"/>
      <c r="D9" s="40"/>
      <c r="E9" s="53"/>
      <c r="F9" s="27"/>
      <c r="G9" s="54"/>
      <c r="H9" s="17"/>
      <c r="I9" s="29"/>
      <c r="J9" s="37"/>
      <c r="K9" s="11"/>
      <c r="L9" s="55"/>
      <c r="M9" s="89"/>
      <c r="N9" s="289"/>
      <c r="O9" s="32" t="s">
        <v>356</v>
      </c>
      <c r="P9" s="50" t="s">
        <v>53</v>
      </c>
      <c r="Q9" s="39">
        <v>2.4</v>
      </c>
      <c r="R9" s="21" t="s">
        <v>37</v>
      </c>
      <c r="S9" s="51"/>
      <c r="T9" s="51"/>
      <c r="U9" s="51"/>
      <c r="V9" s="52"/>
    </row>
    <row r="10" spans="1:22" ht="16.2" customHeight="1" thickBot="1">
      <c r="A10" s="281"/>
      <c r="B10" s="282" t="s">
        <v>60</v>
      </c>
      <c r="C10" s="283"/>
      <c r="D10" s="282" t="s">
        <v>478</v>
      </c>
      <c r="E10" s="283"/>
      <c r="F10" s="282" t="s">
        <v>626</v>
      </c>
      <c r="G10" s="283"/>
      <c r="H10" s="282" t="s">
        <v>489</v>
      </c>
      <c r="I10" s="283"/>
      <c r="J10" s="282" t="s">
        <v>58</v>
      </c>
      <c r="K10" s="283"/>
      <c r="L10" s="282" t="s">
        <v>59</v>
      </c>
      <c r="M10" s="292"/>
      <c r="N10" s="290"/>
      <c r="O10" s="61">
        <f>Q10</f>
        <v>891.54638095238079</v>
      </c>
      <c r="P10" s="56" t="s">
        <v>54</v>
      </c>
      <c r="Q10" s="57">
        <f>Q4*68+Q5*73+Q6*24+Q7*60+Q8*112+Q9*45</f>
        <v>891.54638095238079</v>
      </c>
      <c r="R10" s="58" t="s">
        <v>61</v>
      </c>
      <c r="S10" s="59"/>
      <c r="T10" s="59"/>
      <c r="U10" s="59"/>
      <c r="V10" s="60"/>
    </row>
    <row r="11" spans="1:22" s="206" customFormat="1" ht="22.85" customHeight="1" thickBot="1">
      <c r="A11" s="295">
        <f>A3+1</f>
        <v>44138</v>
      </c>
      <c r="B11" s="293" t="s">
        <v>66</v>
      </c>
      <c r="C11" s="294"/>
      <c r="D11" s="293" t="s">
        <v>62</v>
      </c>
      <c r="E11" s="294"/>
      <c r="F11" s="296" t="s">
        <v>63</v>
      </c>
      <c r="G11" s="297"/>
      <c r="H11" s="293" t="s">
        <v>64</v>
      </c>
      <c r="I11" s="294"/>
      <c r="J11" s="293" t="s">
        <v>12</v>
      </c>
      <c r="K11" s="294"/>
      <c r="L11" s="293" t="s">
        <v>65</v>
      </c>
      <c r="M11" s="294"/>
      <c r="N11" s="291"/>
      <c r="O11" s="205" t="s">
        <v>67</v>
      </c>
      <c r="P11" s="304" t="s">
        <v>69</v>
      </c>
      <c r="Q11" s="305"/>
      <c r="R11" s="306"/>
      <c r="S11" s="307" t="s">
        <v>20</v>
      </c>
      <c r="T11" s="308"/>
      <c r="U11" s="308"/>
      <c r="V11" s="309"/>
    </row>
    <row r="12" spans="1:22" ht="16.899999999999999" customHeight="1">
      <c r="A12" s="280"/>
      <c r="B12" s="17" t="s">
        <v>74</v>
      </c>
      <c r="C12" s="14">
        <v>100</v>
      </c>
      <c r="D12" s="62" t="s">
        <v>70</v>
      </c>
      <c r="E12" s="164">
        <v>75</v>
      </c>
      <c r="F12" s="63" t="s">
        <v>71</v>
      </c>
      <c r="G12" s="165">
        <v>30</v>
      </c>
      <c r="H12" s="12" t="s">
        <v>72</v>
      </c>
      <c r="I12" s="165">
        <v>25</v>
      </c>
      <c r="J12" s="15" t="s">
        <v>73</v>
      </c>
      <c r="K12" s="175">
        <v>120</v>
      </c>
      <c r="L12" s="12" t="s">
        <v>314</v>
      </c>
      <c r="M12" s="163">
        <v>1</v>
      </c>
      <c r="N12" s="289"/>
      <c r="O12" s="18">
        <f>T13</f>
        <v>124.57941176470588</v>
      </c>
      <c r="P12" s="4" t="s">
        <v>15</v>
      </c>
      <c r="Q12" s="5">
        <f>C12/20+C13/20+I13/15+I16/85</f>
        <v>7.7019607843137257</v>
      </c>
      <c r="R12" s="6" t="s">
        <v>43</v>
      </c>
      <c r="S12" s="65" t="s">
        <v>29</v>
      </c>
      <c r="T12" s="66">
        <f>Q18</f>
        <v>877.67722943722947</v>
      </c>
      <c r="U12" s="67" t="s">
        <v>55</v>
      </c>
      <c r="V12" s="68" t="s">
        <v>75</v>
      </c>
    </row>
    <row r="13" spans="1:22" ht="16.899999999999999" customHeight="1">
      <c r="A13" s="280"/>
      <c r="B13" s="17" t="s">
        <v>78</v>
      </c>
      <c r="C13" s="29">
        <v>40</v>
      </c>
      <c r="D13" s="35" t="s">
        <v>45</v>
      </c>
      <c r="E13" s="36">
        <v>1</v>
      </c>
      <c r="F13" s="146" t="s">
        <v>76</v>
      </c>
      <c r="G13" s="36">
        <v>20</v>
      </c>
      <c r="H13" s="17" t="s">
        <v>309</v>
      </c>
      <c r="I13" s="29">
        <v>10</v>
      </c>
      <c r="J13" s="30"/>
      <c r="K13" s="31"/>
      <c r="L13" s="30" t="s">
        <v>77</v>
      </c>
      <c r="M13" s="11">
        <v>1</v>
      </c>
      <c r="N13" s="289"/>
      <c r="O13" s="32" t="s">
        <v>79</v>
      </c>
      <c r="P13" s="19" t="s">
        <v>24</v>
      </c>
      <c r="Q13" s="20">
        <f>E12/35+I14/35+G12/55</f>
        <v>2.7740259740259741</v>
      </c>
      <c r="R13" s="21" t="s">
        <v>37</v>
      </c>
      <c r="S13" s="22" t="s">
        <v>80</v>
      </c>
      <c r="T13" s="23">
        <f>Q12*15+Q14*5+Q15*15+Q16*12</f>
        <v>124.57941176470588</v>
      </c>
      <c r="U13" s="21" t="s">
        <v>81</v>
      </c>
      <c r="V13" s="24">
        <f>T13*4/T12</f>
        <v>0.56776868573695027</v>
      </c>
    </row>
    <row r="14" spans="1:22" ht="16.899999999999999" customHeight="1">
      <c r="A14" s="280"/>
      <c r="B14" s="75"/>
      <c r="C14" s="76"/>
      <c r="D14" s="35"/>
      <c r="E14" s="36"/>
      <c r="F14" s="35" t="s">
        <v>84</v>
      </c>
      <c r="G14" s="36">
        <v>1</v>
      </c>
      <c r="H14" s="37" t="s">
        <v>85</v>
      </c>
      <c r="I14" s="29">
        <v>3</v>
      </c>
      <c r="J14" s="37"/>
      <c r="K14" s="11"/>
      <c r="L14" s="73"/>
      <c r="M14" s="74"/>
      <c r="N14" s="289"/>
      <c r="O14" s="18">
        <f>T14</f>
        <v>25.870129870129873</v>
      </c>
      <c r="P14" s="33" t="s">
        <v>86</v>
      </c>
      <c r="Q14" s="20">
        <f>(E13+G13+G14+I12+I15+K12+G15+M12)/100</f>
        <v>1.81</v>
      </c>
      <c r="R14" s="21" t="s">
        <v>25</v>
      </c>
      <c r="S14" s="22" t="s">
        <v>87</v>
      </c>
      <c r="T14" s="23">
        <f>Q13*5+Q16*4+Q17*5</f>
        <v>25.870129870129873</v>
      </c>
      <c r="U14" s="21" t="s">
        <v>40</v>
      </c>
      <c r="V14" s="24">
        <f>T14*9/T12</f>
        <v>0.2652810862832356</v>
      </c>
    </row>
    <row r="15" spans="1:22" ht="16.899999999999999" customHeight="1">
      <c r="A15" s="280"/>
      <c r="B15" s="75"/>
      <c r="C15" s="76"/>
      <c r="D15" s="35"/>
      <c r="E15" s="36"/>
      <c r="F15" s="30" t="s">
        <v>310</v>
      </c>
      <c r="G15" s="36">
        <v>10</v>
      </c>
      <c r="H15" s="17" t="s">
        <v>33</v>
      </c>
      <c r="I15" s="29">
        <v>3</v>
      </c>
      <c r="J15" s="37"/>
      <c r="K15" s="11"/>
      <c r="L15" s="30"/>
      <c r="M15" s="29"/>
      <c r="N15" s="289"/>
      <c r="O15" s="32" t="s">
        <v>46</v>
      </c>
      <c r="P15" s="46" t="s">
        <v>88</v>
      </c>
      <c r="Q15" s="39">
        <v>0</v>
      </c>
      <c r="R15" s="21" t="s">
        <v>37</v>
      </c>
      <c r="S15" s="22" t="s">
        <v>89</v>
      </c>
      <c r="T15" s="23">
        <f>Q12*2+Q13*7+Q14*1+Q16*8</f>
        <v>36.63210338680927</v>
      </c>
      <c r="U15" s="21" t="s">
        <v>40</v>
      </c>
      <c r="V15" s="24">
        <f>T15*4/T12</f>
        <v>0.16695022797981413</v>
      </c>
    </row>
    <row r="16" spans="1:22" ht="16.899999999999999" customHeight="1">
      <c r="A16" s="280" t="s">
        <v>90</v>
      </c>
      <c r="B16" s="75"/>
      <c r="C16" s="76"/>
      <c r="D16" s="27"/>
      <c r="E16" s="28"/>
      <c r="F16" s="27"/>
      <c r="G16" s="28"/>
      <c r="H16" s="35" t="s">
        <v>91</v>
      </c>
      <c r="I16" s="29">
        <v>3</v>
      </c>
      <c r="J16" s="37"/>
      <c r="K16" s="11"/>
      <c r="L16" s="37"/>
      <c r="M16" s="29"/>
      <c r="N16" s="289"/>
      <c r="O16" s="18">
        <f>T15</f>
        <v>36.63210338680927</v>
      </c>
      <c r="P16" s="46" t="s">
        <v>47</v>
      </c>
      <c r="Q16" s="39">
        <v>0</v>
      </c>
      <c r="R16" s="21" t="s">
        <v>43</v>
      </c>
      <c r="S16" s="47"/>
      <c r="T16" s="47"/>
      <c r="U16" s="47"/>
      <c r="V16" s="48">
        <f>SUM(V13:V15)</f>
        <v>1</v>
      </c>
    </row>
    <row r="17" spans="1:22" ht="16.899999999999999" customHeight="1">
      <c r="A17" s="280"/>
      <c r="B17" s="75"/>
      <c r="C17" s="76"/>
      <c r="D17" s="27"/>
      <c r="E17" s="28"/>
      <c r="F17" s="17"/>
      <c r="G17" s="29"/>
      <c r="H17" s="44"/>
      <c r="I17" s="45"/>
      <c r="J17" s="37"/>
      <c r="K17" s="11"/>
      <c r="L17" s="37"/>
      <c r="M17" s="11"/>
      <c r="N17" s="289"/>
      <c r="O17" s="32" t="s">
        <v>93</v>
      </c>
      <c r="P17" s="50" t="s">
        <v>92</v>
      </c>
      <c r="Q17" s="39">
        <v>2.4</v>
      </c>
      <c r="R17" s="21" t="s">
        <v>37</v>
      </c>
      <c r="S17" s="51"/>
      <c r="T17" s="51"/>
      <c r="U17" s="51"/>
      <c r="V17" s="52"/>
    </row>
    <row r="18" spans="1:22" ht="16.2" customHeight="1" thickBot="1">
      <c r="A18" s="281"/>
      <c r="B18" s="282" t="s">
        <v>60</v>
      </c>
      <c r="C18" s="283"/>
      <c r="D18" s="282" t="s">
        <v>94</v>
      </c>
      <c r="E18" s="283"/>
      <c r="F18" s="282" t="s">
        <v>95</v>
      </c>
      <c r="G18" s="283"/>
      <c r="H18" s="282" t="s">
        <v>95</v>
      </c>
      <c r="I18" s="283"/>
      <c r="J18" s="282" t="s">
        <v>96</v>
      </c>
      <c r="K18" s="283"/>
      <c r="L18" s="282" t="s">
        <v>57</v>
      </c>
      <c r="M18" s="283"/>
      <c r="N18" s="290"/>
      <c r="O18" s="61">
        <f>Q18</f>
        <v>877.67722943722947</v>
      </c>
      <c r="P18" s="56" t="s">
        <v>97</v>
      </c>
      <c r="Q18" s="57">
        <f>Q12*68+Q13*73+Q14*24+Q15*60+Q16*112+Q17*45</f>
        <v>877.67722943722947</v>
      </c>
      <c r="R18" s="58" t="s">
        <v>55</v>
      </c>
      <c r="S18" s="59"/>
      <c r="T18" s="59"/>
      <c r="U18" s="59"/>
      <c r="V18" s="60"/>
    </row>
    <row r="19" spans="1:22" s="206" customFormat="1" ht="22.85" customHeight="1" thickBot="1">
      <c r="A19" s="295">
        <f>A11+1</f>
        <v>44139</v>
      </c>
      <c r="B19" s="321" t="s">
        <v>100</v>
      </c>
      <c r="C19" s="321"/>
      <c r="D19" s="296" t="s">
        <v>490</v>
      </c>
      <c r="E19" s="297"/>
      <c r="F19" s="296" t="s">
        <v>98</v>
      </c>
      <c r="G19" s="297"/>
      <c r="H19" s="296" t="s">
        <v>312</v>
      </c>
      <c r="I19" s="297"/>
      <c r="J19" s="293" t="s">
        <v>12</v>
      </c>
      <c r="K19" s="294"/>
      <c r="L19" s="296" t="s">
        <v>493</v>
      </c>
      <c r="M19" s="297"/>
      <c r="N19" s="288"/>
      <c r="O19" s="205" t="s">
        <v>101</v>
      </c>
      <c r="P19" s="304" t="s">
        <v>68</v>
      </c>
      <c r="Q19" s="305"/>
      <c r="R19" s="306"/>
      <c r="S19" s="307" t="s">
        <v>20</v>
      </c>
      <c r="T19" s="308"/>
      <c r="U19" s="308"/>
      <c r="V19" s="309"/>
    </row>
    <row r="20" spans="1:22" ht="16.899999999999999" customHeight="1">
      <c r="A20" s="280"/>
      <c r="B20" s="81" t="s">
        <v>74</v>
      </c>
      <c r="C20" s="82">
        <v>150</v>
      </c>
      <c r="D20" s="77" t="s">
        <v>491</v>
      </c>
      <c r="E20" s="162">
        <v>90</v>
      </c>
      <c r="F20" s="202" t="s">
        <v>102</v>
      </c>
      <c r="G20" s="163">
        <v>30</v>
      </c>
      <c r="H20" s="78" t="s">
        <v>103</v>
      </c>
      <c r="I20" s="166">
        <v>35</v>
      </c>
      <c r="J20" s="15" t="s">
        <v>104</v>
      </c>
      <c r="K20" s="175">
        <v>130</v>
      </c>
      <c r="L20" s="79" t="s">
        <v>494</v>
      </c>
      <c r="M20" s="168">
        <v>20</v>
      </c>
      <c r="N20" s="289"/>
      <c r="O20" s="18">
        <f>T21</f>
        <v>121.25</v>
      </c>
      <c r="P20" s="4" t="s">
        <v>15</v>
      </c>
      <c r="Q20" s="5">
        <f>C20/20</f>
        <v>7.5</v>
      </c>
      <c r="R20" s="6" t="s">
        <v>43</v>
      </c>
      <c r="S20" s="65" t="s">
        <v>29</v>
      </c>
      <c r="T20" s="66">
        <f>Q26</f>
        <v>882.9785714285714</v>
      </c>
      <c r="U20" s="67" t="s">
        <v>55</v>
      </c>
      <c r="V20" s="83"/>
    </row>
    <row r="21" spans="1:22" ht="16.899999999999999" customHeight="1">
      <c r="A21" s="280"/>
      <c r="B21" s="75"/>
      <c r="C21" s="76"/>
      <c r="D21" s="35"/>
      <c r="E21" s="36"/>
      <c r="F21" s="35" t="s">
        <v>105</v>
      </c>
      <c r="G21" s="11">
        <v>0.5</v>
      </c>
      <c r="H21" s="35" t="s">
        <v>106</v>
      </c>
      <c r="I21" s="29">
        <v>5</v>
      </c>
      <c r="J21" s="30"/>
      <c r="K21" s="31"/>
      <c r="L21" s="86" t="s">
        <v>495</v>
      </c>
      <c r="M21" s="28">
        <v>5</v>
      </c>
      <c r="N21" s="289"/>
      <c r="O21" s="32" t="s">
        <v>35</v>
      </c>
      <c r="P21" s="19" t="s">
        <v>24</v>
      </c>
      <c r="Q21" s="20">
        <f>E20/40+G20/50+I23/35</f>
        <v>2.9928571428571429</v>
      </c>
      <c r="R21" s="21" t="s">
        <v>43</v>
      </c>
      <c r="S21" s="22" t="s">
        <v>26</v>
      </c>
      <c r="T21" s="23">
        <f>Q20*15+Q22*5+Q23*15+Q24*12</f>
        <v>121.25</v>
      </c>
      <c r="U21" s="21" t="s">
        <v>40</v>
      </c>
      <c r="V21" s="24">
        <f>T21*4/T20</f>
        <v>0.54927720297370108</v>
      </c>
    </row>
    <row r="22" spans="1:22" ht="16.899999999999999" customHeight="1">
      <c r="A22" s="280"/>
      <c r="B22" s="75"/>
      <c r="C22" s="76"/>
      <c r="D22" s="35"/>
      <c r="E22" s="11"/>
      <c r="F22" s="37"/>
      <c r="G22" s="29"/>
      <c r="H22" s="35" t="s">
        <v>311</v>
      </c>
      <c r="I22" s="29">
        <v>5</v>
      </c>
      <c r="J22" s="37"/>
      <c r="K22" s="11"/>
      <c r="L22" s="87"/>
      <c r="M22" s="11"/>
      <c r="N22" s="289"/>
      <c r="O22" s="18">
        <f>T22</f>
        <v>27.464285714285715</v>
      </c>
      <c r="P22" s="88" t="s">
        <v>36</v>
      </c>
      <c r="Q22" s="20">
        <f>(I20+I21+K20+I23)/100</f>
        <v>1.75</v>
      </c>
      <c r="R22" s="21" t="s">
        <v>37</v>
      </c>
      <c r="S22" s="22" t="s">
        <v>87</v>
      </c>
      <c r="T22" s="23">
        <f>Q21*5+Q24*4+Q25*5</f>
        <v>27.464285714285715</v>
      </c>
      <c r="U22" s="21" t="s">
        <v>40</v>
      </c>
      <c r="V22" s="24">
        <f>T22*9/T20</f>
        <v>0.27993722546251731</v>
      </c>
    </row>
    <row r="23" spans="1:22" ht="16.899999999999999" customHeight="1">
      <c r="A23" s="280"/>
      <c r="B23" s="86"/>
      <c r="C23" s="28"/>
      <c r="D23" s="35"/>
      <c r="E23" s="11"/>
      <c r="F23" s="17"/>
      <c r="G23" s="89"/>
      <c r="H23" s="30" t="s">
        <v>313</v>
      </c>
      <c r="I23" s="43">
        <v>5</v>
      </c>
      <c r="J23" s="37"/>
      <c r="K23" s="11"/>
      <c r="L23" s="86"/>
      <c r="M23" s="28"/>
      <c r="N23" s="289"/>
      <c r="O23" s="32" t="s">
        <v>46</v>
      </c>
      <c r="P23" s="46" t="s">
        <v>88</v>
      </c>
      <c r="Q23" s="39">
        <v>0</v>
      </c>
      <c r="R23" s="21" t="s">
        <v>43</v>
      </c>
      <c r="S23" s="22" t="s">
        <v>89</v>
      </c>
      <c r="T23" s="23">
        <f>Q20*2+Q21*7+Q22*1+Q24*8</f>
        <v>37.700000000000003</v>
      </c>
      <c r="U23" s="21" t="s">
        <v>40</v>
      </c>
      <c r="V23" s="24">
        <f>T23*4/T20</f>
        <v>0.17078557156378171</v>
      </c>
    </row>
    <row r="24" spans="1:22" ht="16.899999999999999" customHeight="1">
      <c r="A24" s="280" t="s">
        <v>109</v>
      </c>
      <c r="B24" s="75"/>
      <c r="C24" s="76"/>
      <c r="D24" s="37"/>
      <c r="E24" s="11"/>
      <c r="F24" s="44"/>
      <c r="G24" s="90"/>
      <c r="H24" s="30"/>
      <c r="J24" s="37"/>
      <c r="K24" s="11"/>
      <c r="L24" s="91"/>
      <c r="M24" s="92"/>
      <c r="N24" s="289"/>
      <c r="O24" s="18">
        <f>T23</f>
        <v>37.700000000000003</v>
      </c>
      <c r="P24" s="46" t="s">
        <v>47</v>
      </c>
      <c r="Q24" s="39">
        <v>0</v>
      </c>
      <c r="R24" s="21" t="s">
        <v>43</v>
      </c>
      <c r="S24" s="47"/>
      <c r="T24" s="47"/>
      <c r="U24" s="47"/>
      <c r="V24" s="48">
        <f>SUM(V21:V23)</f>
        <v>1</v>
      </c>
    </row>
    <row r="25" spans="1:22" ht="16.899999999999999" customHeight="1">
      <c r="A25" s="280"/>
      <c r="B25" s="94"/>
      <c r="C25" s="95"/>
      <c r="D25" s="30"/>
      <c r="E25" s="11"/>
      <c r="F25" s="27"/>
      <c r="G25" s="90"/>
      <c r="H25" s="27"/>
      <c r="I25" s="11"/>
      <c r="J25" s="37"/>
      <c r="K25" s="11"/>
      <c r="L25" s="93"/>
      <c r="M25" s="92"/>
      <c r="N25" s="289"/>
      <c r="O25" s="32" t="s">
        <v>93</v>
      </c>
      <c r="P25" s="50" t="s">
        <v>92</v>
      </c>
      <c r="Q25" s="39">
        <v>2.5</v>
      </c>
      <c r="R25" s="21" t="s">
        <v>37</v>
      </c>
      <c r="S25" s="51"/>
      <c r="T25" s="51"/>
      <c r="U25" s="51"/>
      <c r="V25" s="52"/>
    </row>
    <row r="26" spans="1:22" ht="16.2" customHeight="1" thickBot="1">
      <c r="A26" s="281"/>
      <c r="B26" s="282" t="s">
        <v>60</v>
      </c>
      <c r="C26" s="283"/>
      <c r="D26" s="282" t="s">
        <v>492</v>
      </c>
      <c r="E26" s="283"/>
      <c r="F26" s="282" t="s">
        <v>336</v>
      </c>
      <c r="G26" s="283"/>
      <c r="H26" s="282" t="s">
        <v>95</v>
      </c>
      <c r="I26" s="283"/>
      <c r="J26" s="282" t="s">
        <v>58</v>
      </c>
      <c r="K26" s="283"/>
      <c r="L26" s="282" t="s">
        <v>59</v>
      </c>
      <c r="M26" s="283"/>
      <c r="N26" s="290"/>
      <c r="O26" s="61">
        <f>Q26</f>
        <v>882.9785714285714</v>
      </c>
      <c r="P26" s="56" t="s">
        <v>97</v>
      </c>
      <c r="Q26" s="57">
        <f>Q20*68+Q21*73+Q22*24+Q23*60+Q24*112+Q25*45</f>
        <v>882.9785714285714</v>
      </c>
      <c r="R26" s="58" t="s">
        <v>55</v>
      </c>
      <c r="S26" s="59"/>
      <c r="T26" s="59"/>
      <c r="U26" s="59"/>
      <c r="V26" s="60"/>
    </row>
    <row r="27" spans="1:22" s="206" customFormat="1" ht="22.85" customHeight="1" thickBot="1">
      <c r="A27" s="295">
        <f>A19+1</f>
        <v>44140</v>
      </c>
      <c r="B27" s="314" t="s">
        <v>496</v>
      </c>
      <c r="C27" s="315"/>
      <c r="D27" s="296" t="s">
        <v>500</v>
      </c>
      <c r="E27" s="297"/>
      <c r="F27" s="296" t="s">
        <v>296</v>
      </c>
      <c r="G27" s="297"/>
      <c r="H27" s="296" t="s">
        <v>504</v>
      </c>
      <c r="I27" s="297"/>
      <c r="J27" s="293" t="s">
        <v>110</v>
      </c>
      <c r="K27" s="294"/>
      <c r="L27" s="296" t="s">
        <v>111</v>
      </c>
      <c r="M27" s="297"/>
      <c r="N27" s="288"/>
      <c r="O27" s="205" t="s">
        <v>101</v>
      </c>
      <c r="P27" s="304" t="s">
        <v>69</v>
      </c>
      <c r="Q27" s="305"/>
      <c r="R27" s="306"/>
      <c r="S27" s="307" t="s">
        <v>112</v>
      </c>
      <c r="T27" s="308"/>
      <c r="U27" s="308"/>
      <c r="V27" s="309"/>
    </row>
    <row r="28" spans="1:22" ht="16.899999999999999" customHeight="1">
      <c r="A28" s="280"/>
      <c r="B28" s="169" t="s">
        <v>497</v>
      </c>
      <c r="C28" s="170">
        <v>110</v>
      </c>
      <c r="D28" s="96" t="s">
        <v>501</v>
      </c>
      <c r="E28" s="168">
        <v>80</v>
      </c>
      <c r="F28" s="62" t="s">
        <v>113</v>
      </c>
      <c r="G28" s="175">
        <v>15</v>
      </c>
      <c r="H28" s="12" t="s">
        <v>505</v>
      </c>
      <c r="I28" s="219">
        <v>20</v>
      </c>
      <c r="J28" s="15" t="s">
        <v>114</v>
      </c>
      <c r="K28" s="175">
        <v>110</v>
      </c>
      <c r="L28" s="97" t="s">
        <v>115</v>
      </c>
      <c r="M28" s="163">
        <v>15</v>
      </c>
      <c r="N28" s="289"/>
      <c r="O28" s="18">
        <f>T29</f>
        <v>118.96036414565826</v>
      </c>
      <c r="P28" s="4" t="s">
        <v>15</v>
      </c>
      <c r="Q28" s="5">
        <f>C28/20+C29/20+I28/85+I29/90+I33/70</f>
        <v>7.3606909430438838</v>
      </c>
      <c r="R28" s="6" t="s">
        <v>43</v>
      </c>
      <c r="S28" s="65" t="s">
        <v>29</v>
      </c>
      <c r="T28" s="66">
        <f>Q34</f>
        <v>864.51081529581518</v>
      </c>
      <c r="U28" s="67" t="s">
        <v>55</v>
      </c>
      <c r="V28" s="68" t="s">
        <v>75</v>
      </c>
    </row>
    <row r="29" spans="1:22" ht="16.899999999999999" customHeight="1">
      <c r="A29" s="280"/>
      <c r="B29" s="185" t="s">
        <v>498</v>
      </c>
      <c r="C29" s="171">
        <v>30</v>
      </c>
      <c r="D29" s="37" t="s">
        <v>482</v>
      </c>
      <c r="E29" s="98">
        <v>10</v>
      </c>
      <c r="F29" s="30" t="s">
        <v>117</v>
      </c>
      <c r="G29" s="11">
        <v>15</v>
      </c>
      <c r="H29" s="30" t="s">
        <v>506</v>
      </c>
      <c r="I29" s="31">
        <v>10</v>
      </c>
      <c r="J29" s="30"/>
      <c r="K29" s="31"/>
      <c r="L29" s="99" t="s">
        <v>116</v>
      </c>
      <c r="M29" s="11">
        <v>15</v>
      </c>
      <c r="N29" s="289"/>
      <c r="O29" s="32" t="s">
        <v>35</v>
      </c>
      <c r="P29" s="19" t="s">
        <v>24</v>
      </c>
      <c r="Q29" s="20">
        <f>E28/35+G28/40+I30/35+M28/110</f>
        <v>2.8827922077922077</v>
      </c>
      <c r="R29" s="21" t="s">
        <v>43</v>
      </c>
      <c r="S29" s="22" t="s">
        <v>26</v>
      </c>
      <c r="T29" s="23">
        <f>Q28*15+Q30*5+Q31*15+Q32*12</f>
        <v>118.96036414565826</v>
      </c>
      <c r="U29" s="21" t="s">
        <v>40</v>
      </c>
      <c r="V29" s="24">
        <f>T29*4/T28</f>
        <v>0.55041700828208995</v>
      </c>
    </row>
    <row r="30" spans="1:22" ht="16.899999999999999" customHeight="1">
      <c r="A30" s="280"/>
      <c r="B30" s="87"/>
      <c r="C30" s="172"/>
      <c r="D30" s="40" t="s">
        <v>324</v>
      </c>
      <c r="E30" s="11">
        <v>3</v>
      </c>
      <c r="F30" s="30"/>
      <c r="G30" s="11"/>
      <c r="H30" s="30" t="s">
        <v>507</v>
      </c>
      <c r="I30" s="31">
        <v>3</v>
      </c>
      <c r="J30" s="37"/>
      <c r="K30" s="11"/>
      <c r="L30" s="100" t="s">
        <v>118</v>
      </c>
      <c r="M30" s="36">
        <v>1</v>
      </c>
      <c r="N30" s="289"/>
      <c r="O30" s="18">
        <f>T30</f>
        <v>26.913961038961038</v>
      </c>
      <c r="P30" s="33" t="s">
        <v>36</v>
      </c>
      <c r="Q30" s="20">
        <f>(E29+E30+E31+G29+I31+I32+K28+M29+M30+M31)/100</f>
        <v>1.71</v>
      </c>
      <c r="R30" s="21" t="s">
        <v>43</v>
      </c>
      <c r="S30" s="22" t="s">
        <v>87</v>
      </c>
      <c r="T30" s="23">
        <f>Q29*5+Q32*4+Q33*5</f>
        <v>26.913961038961038</v>
      </c>
      <c r="U30" s="21" t="s">
        <v>40</v>
      </c>
      <c r="V30" s="24">
        <f>T30*9/T28</f>
        <v>0.28018810761524765</v>
      </c>
    </row>
    <row r="31" spans="1:22" ht="16.899999999999999" customHeight="1">
      <c r="A31" s="280"/>
      <c r="B31" s="174"/>
      <c r="C31" s="171"/>
      <c r="D31" s="30" t="s">
        <v>502</v>
      </c>
      <c r="E31" s="11">
        <v>1</v>
      </c>
      <c r="F31" s="44"/>
      <c r="G31" s="28"/>
      <c r="H31" s="30" t="s">
        <v>482</v>
      </c>
      <c r="I31" s="31">
        <v>10</v>
      </c>
      <c r="J31" s="37"/>
      <c r="K31" s="11"/>
      <c r="L31" s="87" t="s">
        <v>77</v>
      </c>
      <c r="M31" s="29">
        <v>1</v>
      </c>
      <c r="N31" s="289"/>
      <c r="O31" s="32" t="s">
        <v>46</v>
      </c>
      <c r="P31" s="46" t="s">
        <v>49</v>
      </c>
      <c r="Q31" s="39">
        <v>0</v>
      </c>
      <c r="R31" s="21" t="s">
        <v>37</v>
      </c>
      <c r="S31" s="22" t="s">
        <v>89</v>
      </c>
      <c r="T31" s="23">
        <f>Q28*2+Q29*7+Q30*1+Q32*8</f>
        <v>36.610927340633225</v>
      </c>
      <c r="U31" s="21" t="s">
        <v>40</v>
      </c>
      <c r="V31" s="24">
        <f>T31*4/T28</f>
        <v>0.16939488410266251</v>
      </c>
    </row>
    <row r="32" spans="1:22" ht="16.899999999999999" customHeight="1">
      <c r="A32" s="280" t="s">
        <v>119</v>
      </c>
      <c r="B32" s="173"/>
      <c r="C32" s="171"/>
      <c r="D32" s="27"/>
      <c r="E32" s="28"/>
      <c r="F32" s="44"/>
      <c r="G32" s="45"/>
      <c r="H32" s="30" t="s">
        <v>508</v>
      </c>
      <c r="I32" s="31">
        <v>5</v>
      </c>
      <c r="J32" s="37"/>
      <c r="K32" s="11"/>
      <c r="L32" s="87"/>
      <c r="M32" s="29"/>
      <c r="N32" s="289"/>
      <c r="O32" s="18">
        <f>T31</f>
        <v>36.610927340633225</v>
      </c>
      <c r="P32" s="46" t="s">
        <v>47</v>
      </c>
      <c r="Q32" s="39">
        <v>0</v>
      </c>
      <c r="R32" s="21" t="s">
        <v>37</v>
      </c>
      <c r="S32" s="47"/>
      <c r="T32" s="47"/>
      <c r="U32" s="47"/>
      <c r="V32" s="48">
        <f>SUM(V29:V31)</f>
        <v>1</v>
      </c>
    </row>
    <row r="33" spans="1:22" ht="16.899999999999999" customHeight="1">
      <c r="A33" s="280"/>
      <c r="B33" s="174"/>
      <c r="C33" s="171"/>
      <c r="D33" s="27"/>
      <c r="E33" s="28"/>
      <c r="F33" s="93"/>
      <c r="G33" s="101"/>
      <c r="H33" s="30" t="s">
        <v>509</v>
      </c>
      <c r="I33" s="31">
        <v>1</v>
      </c>
      <c r="J33" s="37"/>
      <c r="K33" s="11"/>
      <c r="L33" s="91"/>
      <c r="M33" s="102"/>
      <c r="N33" s="289"/>
      <c r="O33" s="32" t="s">
        <v>93</v>
      </c>
      <c r="P33" s="50" t="s">
        <v>92</v>
      </c>
      <c r="Q33" s="39">
        <v>2.5</v>
      </c>
      <c r="R33" s="21" t="s">
        <v>37</v>
      </c>
      <c r="S33" s="51"/>
      <c r="T33" s="51"/>
      <c r="U33" s="51"/>
      <c r="V33" s="52"/>
    </row>
    <row r="34" spans="1:22" ht="16.2" customHeight="1" thickBot="1">
      <c r="A34" s="281"/>
      <c r="B34" s="286" t="s">
        <v>499</v>
      </c>
      <c r="C34" s="287"/>
      <c r="D34" s="282" t="s">
        <v>503</v>
      </c>
      <c r="E34" s="283"/>
      <c r="F34" s="282" t="s">
        <v>128</v>
      </c>
      <c r="G34" s="283"/>
      <c r="H34" s="282" t="s">
        <v>510</v>
      </c>
      <c r="I34" s="283"/>
      <c r="J34" s="282" t="s">
        <v>58</v>
      </c>
      <c r="K34" s="283"/>
      <c r="L34" s="282" t="s">
        <v>59</v>
      </c>
      <c r="M34" s="283"/>
      <c r="N34" s="290"/>
      <c r="O34" s="61">
        <f>Q34</f>
        <v>864.51081529581518</v>
      </c>
      <c r="P34" s="56" t="s">
        <v>54</v>
      </c>
      <c r="Q34" s="57">
        <f>Q28*68+Q29*73+Q30*24+Q31*60+Q32*112+Q33*45</f>
        <v>864.51081529581518</v>
      </c>
      <c r="R34" s="58" t="s">
        <v>61</v>
      </c>
      <c r="S34" s="59"/>
      <c r="T34" s="59"/>
      <c r="U34" s="59"/>
      <c r="V34" s="60"/>
    </row>
    <row r="35" spans="1:22" s="206" customFormat="1" ht="22.85" customHeight="1" thickBot="1">
      <c r="A35" s="295">
        <f>A27+1</f>
        <v>44141</v>
      </c>
      <c r="B35" s="321" t="s">
        <v>100</v>
      </c>
      <c r="C35" s="321"/>
      <c r="D35" s="296" t="s">
        <v>645</v>
      </c>
      <c r="E35" s="297"/>
      <c r="F35" s="293" t="s">
        <v>640</v>
      </c>
      <c r="G35" s="294"/>
      <c r="H35" s="293" t="s">
        <v>511</v>
      </c>
      <c r="I35" s="294"/>
      <c r="J35" s="293" t="s">
        <v>12</v>
      </c>
      <c r="K35" s="294"/>
      <c r="L35" s="293" t="s">
        <v>655</v>
      </c>
      <c r="M35" s="294"/>
      <c r="N35" s="288"/>
      <c r="O35" s="205" t="s">
        <v>67</v>
      </c>
      <c r="P35" s="304" t="s">
        <v>68</v>
      </c>
      <c r="Q35" s="305"/>
      <c r="R35" s="306"/>
      <c r="S35" s="307" t="s">
        <v>20</v>
      </c>
      <c r="T35" s="308"/>
      <c r="U35" s="308"/>
      <c r="V35" s="309"/>
    </row>
    <row r="36" spans="1:22" ht="16.899999999999999" customHeight="1">
      <c r="A36" s="280"/>
      <c r="B36" s="81" t="s">
        <v>74</v>
      </c>
      <c r="C36" s="82">
        <v>140</v>
      </c>
      <c r="D36" s="10" t="s">
        <v>646</v>
      </c>
      <c r="E36" s="162">
        <v>15</v>
      </c>
      <c r="F36" s="63" t="s">
        <v>650</v>
      </c>
      <c r="G36" s="165">
        <v>20</v>
      </c>
      <c r="H36" s="103" t="s">
        <v>512</v>
      </c>
      <c r="I36" s="165">
        <v>15</v>
      </c>
      <c r="J36" s="240" t="s">
        <v>666</v>
      </c>
      <c r="K36" s="175">
        <v>50</v>
      </c>
      <c r="L36" s="228" t="s">
        <v>657</v>
      </c>
      <c r="M36" s="224">
        <v>55</v>
      </c>
      <c r="N36" s="289"/>
      <c r="O36" s="18">
        <f>T37</f>
        <v>122.54285714285714</v>
      </c>
      <c r="P36" s="4" t="s">
        <v>15</v>
      </c>
      <c r="Q36" s="39">
        <f>C36/20+E36/90+I39/70+K39/15</f>
        <v>7.5428571428571427</v>
      </c>
      <c r="R36" s="6" t="s">
        <v>43</v>
      </c>
      <c r="S36" s="65" t="s">
        <v>29</v>
      </c>
      <c r="T36" s="66">
        <f>Q43</f>
        <v>911.20051948051946</v>
      </c>
      <c r="U36" s="67" t="s">
        <v>61</v>
      </c>
      <c r="V36" s="83"/>
    </row>
    <row r="37" spans="1:22" ht="16.899999999999999" customHeight="1" thickBot="1">
      <c r="A37" s="280"/>
      <c r="B37" s="282" t="s">
        <v>60</v>
      </c>
      <c r="C37" s="283"/>
      <c r="D37" s="228" t="s">
        <v>647</v>
      </c>
      <c r="E37" s="36">
        <v>5</v>
      </c>
      <c r="F37" s="35" t="s">
        <v>652</v>
      </c>
      <c r="G37" s="36">
        <v>3</v>
      </c>
      <c r="H37" s="55" t="s">
        <v>513</v>
      </c>
      <c r="I37" s="29">
        <v>10</v>
      </c>
      <c r="J37" s="282" t="s">
        <v>129</v>
      </c>
      <c r="K37" s="283"/>
      <c r="L37" s="228"/>
      <c r="M37" s="224"/>
      <c r="N37" s="289"/>
      <c r="O37" s="32" t="s">
        <v>79</v>
      </c>
      <c r="P37" s="19" t="s">
        <v>24</v>
      </c>
      <c r="Q37" s="20">
        <f>E36/55+G37/35+M36/55+K41/35+C39/35+E37/35</f>
        <v>3.3584415584415583</v>
      </c>
      <c r="R37" s="21" t="s">
        <v>43</v>
      </c>
      <c r="S37" s="22" t="s">
        <v>80</v>
      </c>
      <c r="T37" s="23">
        <f>Q36*15+Q38*5+Q39*15+Q40*12</f>
        <v>122.54285714285714</v>
      </c>
      <c r="U37" s="21" t="s">
        <v>27</v>
      </c>
      <c r="V37" s="24">
        <f>T37*4/T36</f>
        <v>0.53794024267115004</v>
      </c>
    </row>
    <row r="38" spans="1:22" ht="16.899999999999999" customHeight="1" thickBot="1">
      <c r="A38" s="280"/>
      <c r="B38" s="296" t="s">
        <v>643</v>
      </c>
      <c r="C38" s="297"/>
      <c r="D38" s="225" t="s">
        <v>648</v>
      </c>
      <c r="E38" s="105">
        <v>5</v>
      </c>
      <c r="F38" s="35" t="s">
        <v>653</v>
      </c>
      <c r="G38" s="31">
        <v>5</v>
      </c>
      <c r="H38" s="49" t="s">
        <v>482</v>
      </c>
      <c r="I38" s="29">
        <v>5</v>
      </c>
      <c r="J38" s="293" t="s">
        <v>658</v>
      </c>
      <c r="K38" s="294"/>
      <c r="L38" s="282" t="s">
        <v>656</v>
      </c>
      <c r="M38" s="283"/>
      <c r="N38" s="289"/>
      <c r="O38" s="18">
        <f>T38</f>
        <v>28.79220779220779</v>
      </c>
      <c r="P38" s="33" t="s">
        <v>36</v>
      </c>
      <c r="Q38" s="20">
        <f>(E37+E38+E39+G36+G38+G39+G42+I36+I37+I38+I40+K36+K39+K40+K42+M36)/100</f>
        <v>1.88</v>
      </c>
      <c r="R38" s="21" t="s">
        <v>43</v>
      </c>
      <c r="S38" s="22" t="s">
        <v>38</v>
      </c>
      <c r="T38" s="23">
        <f>Q37*5+Q40*4+Q42*5</f>
        <v>28.79220779220779</v>
      </c>
      <c r="U38" s="21" t="s">
        <v>27</v>
      </c>
      <c r="V38" s="24">
        <f>T38*9/T36</f>
        <v>0.28438292624942918</v>
      </c>
    </row>
    <row r="39" spans="1:22" ht="16.899999999999999" customHeight="1" thickBot="1">
      <c r="A39" s="280"/>
      <c r="B39" s="223" t="s">
        <v>644</v>
      </c>
      <c r="C39" s="233">
        <v>60</v>
      </c>
      <c r="D39" s="30" t="s">
        <v>653</v>
      </c>
      <c r="E39" s="11">
        <v>3</v>
      </c>
      <c r="F39" s="35" t="s">
        <v>654</v>
      </c>
      <c r="G39" s="29">
        <v>1</v>
      </c>
      <c r="H39" s="199" t="s">
        <v>514</v>
      </c>
      <c r="I39" s="54">
        <v>3</v>
      </c>
      <c r="J39" s="37" t="s">
        <v>661</v>
      </c>
      <c r="K39" s="11">
        <v>5</v>
      </c>
      <c r="L39" s="282"/>
      <c r="M39" s="283"/>
      <c r="N39" s="289"/>
      <c r="O39" s="32" t="s">
        <v>48</v>
      </c>
      <c r="P39" s="46" t="s">
        <v>49</v>
      </c>
      <c r="Q39" s="39">
        <v>0</v>
      </c>
      <c r="R39" s="21" t="s">
        <v>43</v>
      </c>
      <c r="S39" s="22" t="s">
        <v>89</v>
      </c>
      <c r="T39" s="23">
        <f>Q36*2+Q37*7+Q38*1+Q40*8</f>
        <v>40.474805194805192</v>
      </c>
      <c r="U39" s="21" t="s">
        <v>27</v>
      </c>
      <c r="V39" s="24">
        <f>T39*4/T36</f>
        <v>0.17767683107942084</v>
      </c>
    </row>
    <row r="40" spans="1:22" ht="16.899999999999999" customHeight="1" thickBot="1">
      <c r="A40" s="280" t="s">
        <v>124</v>
      </c>
      <c r="B40" s="231"/>
      <c r="C40" s="227"/>
      <c r="D40" s="30" t="s">
        <v>649</v>
      </c>
      <c r="E40" s="26">
        <v>1</v>
      </c>
      <c r="F40" s="106"/>
      <c r="G40" s="29"/>
      <c r="H40" s="86" t="s">
        <v>515</v>
      </c>
      <c r="I40" s="54">
        <v>1</v>
      </c>
      <c r="J40" s="37" t="s">
        <v>659</v>
      </c>
      <c r="K40" s="11">
        <v>5</v>
      </c>
      <c r="L40" s="293" t="s">
        <v>662</v>
      </c>
      <c r="M40" s="294"/>
      <c r="N40" s="289"/>
      <c r="O40" s="18">
        <f>T39</f>
        <v>40.474805194805192</v>
      </c>
      <c r="P40" s="46" t="s">
        <v>47</v>
      </c>
      <c r="Q40" s="39">
        <v>0</v>
      </c>
      <c r="R40" s="21" t="s">
        <v>43</v>
      </c>
      <c r="S40" s="47"/>
      <c r="T40" s="47"/>
      <c r="U40" s="47"/>
      <c r="V40" s="48">
        <f>SUM(V37:V39)</f>
        <v>1</v>
      </c>
    </row>
    <row r="41" spans="1:22" ht="16.899999999999999" customHeight="1">
      <c r="A41" s="280"/>
      <c r="B41" s="231"/>
      <c r="C41" s="227"/>
      <c r="D41" s="225"/>
      <c r="E41" s="26"/>
      <c r="F41" s="106"/>
      <c r="G41" s="29"/>
      <c r="H41" s="86"/>
      <c r="I41" s="54"/>
      <c r="J41" s="228" t="s">
        <v>660</v>
      </c>
      <c r="K41" s="224">
        <v>5</v>
      </c>
      <c r="L41" s="228" t="s">
        <v>642</v>
      </c>
      <c r="M41" s="224" t="s">
        <v>663</v>
      </c>
      <c r="N41" s="289"/>
      <c r="O41" s="18"/>
      <c r="P41" s="46"/>
      <c r="Q41" s="39"/>
      <c r="R41" s="21"/>
      <c r="S41" s="47"/>
      <c r="T41" s="47"/>
      <c r="U41" s="47"/>
      <c r="V41" s="48"/>
    </row>
    <row r="42" spans="1:22" ht="16.899999999999999" customHeight="1">
      <c r="A42" s="280"/>
      <c r="B42" s="231"/>
      <c r="C42" s="232"/>
      <c r="D42" s="37"/>
      <c r="E42" s="11"/>
      <c r="F42" s="44"/>
      <c r="G42" s="29"/>
      <c r="H42" s="107"/>
      <c r="I42" s="108"/>
      <c r="J42" s="37" t="s">
        <v>653</v>
      </c>
      <c r="K42" s="11">
        <v>3</v>
      </c>
      <c r="L42" s="228"/>
      <c r="M42" s="224"/>
      <c r="N42" s="289"/>
      <c r="O42" s="32" t="s">
        <v>125</v>
      </c>
      <c r="P42" s="50" t="s">
        <v>127</v>
      </c>
      <c r="Q42" s="39">
        <v>2.4</v>
      </c>
      <c r="R42" s="21" t="s">
        <v>126</v>
      </c>
      <c r="S42" s="51"/>
      <c r="T42" s="51"/>
      <c r="U42" s="51"/>
      <c r="V42" s="52"/>
    </row>
    <row r="43" spans="1:22" ht="16.2" customHeight="1" thickBot="1">
      <c r="A43" s="281"/>
      <c r="B43" s="225"/>
      <c r="C43" s="224"/>
      <c r="D43" s="282" t="s">
        <v>626</v>
      </c>
      <c r="E43" s="283"/>
      <c r="F43" s="282" t="s">
        <v>651</v>
      </c>
      <c r="G43" s="283"/>
      <c r="H43" s="310" t="s">
        <v>510</v>
      </c>
      <c r="I43" s="311"/>
      <c r="J43" s="282" t="s">
        <v>651</v>
      </c>
      <c r="K43" s="283"/>
      <c r="L43" s="282"/>
      <c r="M43" s="283"/>
      <c r="N43" s="290"/>
      <c r="O43" s="61">
        <f>Q43</f>
        <v>911.20051948051946</v>
      </c>
      <c r="P43" s="56" t="s">
        <v>54</v>
      </c>
      <c r="Q43" s="57">
        <f>Q36*68+Q37*73+Q38*24+Q39*60+Q40*112+Q42*45</f>
        <v>911.20051948051946</v>
      </c>
      <c r="R43" s="58" t="s">
        <v>132</v>
      </c>
      <c r="S43" s="59"/>
      <c r="T43" s="59"/>
      <c r="U43" s="59"/>
      <c r="V43" s="60"/>
    </row>
    <row r="44" spans="1:22" ht="14.95" customHeight="1">
      <c r="A44" s="180"/>
      <c r="B44" s="200"/>
      <c r="C44" s="278" t="s">
        <v>366</v>
      </c>
      <c r="D44" s="278"/>
      <c r="E44" s="180"/>
      <c r="F44" s="184"/>
      <c r="G44" s="180" t="s">
        <v>367</v>
      </c>
      <c r="H44" s="180"/>
      <c r="I44" s="180"/>
      <c r="J44" s="204"/>
      <c r="K44" s="278" t="s">
        <v>368</v>
      </c>
      <c r="L44" s="278"/>
      <c r="M44" s="180"/>
      <c r="N44" s="180"/>
      <c r="O44" s="180"/>
    </row>
    <row r="45" spans="1:22" ht="16.2" customHeight="1">
      <c r="A45" s="276" t="s">
        <v>331</v>
      </c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</row>
    <row r="46" spans="1:22">
      <c r="A46" s="277" t="s">
        <v>318</v>
      </c>
      <c r="B46" s="277"/>
      <c r="C46" s="277"/>
      <c r="D46" s="277"/>
      <c r="E46" s="277"/>
      <c r="F46" s="277"/>
      <c r="G46" s="277"/>
      <c r="H46" s="277"/>
      <c r="I46" s="277"/>
      <c r="J46" s="277"/>
      <c r="K46" s="277"/>
      <c r="L46" s="277"/>
      <c r="M46" s="277"/>
      <c r="N46" s="277"/>
      <c r="O46" s="277"/>
    </row>
    <row r="47" spans="1:22" ht="16.2" customHeight="1">
      <c r="A47" s="276" t="s">
        <v>315</v>
      </c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191"/>
      <c r="O47" s="183"/>
    </row>
    <row r="48" spans="1:22" ht="16.2" customHeight="1">
      <c r="A48" s="276" t="s">
        <v>316</v>
      </c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</row>
    <row r="49" spans="1:22" ht="22.75" thickBot="1">
      <c r="A49" s="279" t="s">
        <v>133</v>
      </c>
      <c r="B49" s="279"/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193"/>
      <c r="O49" s="237" t="s">
        <v>633</v>
      </c>
    </row>
    <row r="50" spans="1:22" ht="33.799999999999997" thickBot="1">
      <c r="A50" s="109" t="s">
        <v>134</v>
      </c>
      <c r="B50" s="178" t="s">
        <v>10</v>
      </c>
      <c r="C50" s="2" t="s">
        <v>9</v>
      </c>
      <c r="D50" s="178" t="s">
        <v>135</v>
      </c>
      <c r="E50" s="2" t="s">
        <v>136</v>
      </c>
      <c r="F50" s="178" t="s">
        <v>4</v>
      </c>
      <c r="G50" s="2" t="s">
        <v>137</v>
      </c>
      <c r="H50" s="178" t="s">
        <v>138</v>
      </c>
      <c r="I50" s="2" t="s">
        <v>137</v>
      </c>
      <c r="J50" s="178" t="s">
        <v>139</v>
      </c>
      <c r="K50" s="2" t="s">
        <v>6</v>
      </c>
      <c r="L50" s="178" t="s">
        <v>140</v>
      </c>
      <c r="M50" s="2" t="s">
        <v>3</v>
      </c>
      <c r="N50" s="194" t="s">
        <v>330</v>
      </c>
      <c r="O50" s="194" t="s">
        <v>329</v>
      </c>
      <c r="P50" s="299" t="s">
        <v>11</v>
      </c>
      <c r="Q50" s="300"/>
      <c r="R50" s="300"/>
      <c r="S50" s="300"/>
      <c r="T50" s="300"/>
      <c r="U50" s="300"/>
      <c r="V50" s="301"/>
    </row>
    <row r="51" spans="1:22" s="206" customFormat="1" ht="22.85" customHeight="1" thickBot="1">
      <c r="A51" s="295">
        <f>A35+3</f>
        <v>44144</v>
      </c>
      <c r="B51" s="293" t="s">
        <v>14</v>
      </c>
      <c r="C51" s="294"/>
      <c r="D51" s="293" t="s">
        <v>518</v>
      </c>
      <c r="E51" s="294"/>
      <c r="F51" s="293" t="s">
        <v>519</v>
      </c>
      <c r="G51" s="294"/>
      <c r="H51" s="293" t="s">
        <v>520</v>
      </c>
      <c r="I51" s="294"/>
      <c r="J51" s="293" t="s">
        <v>141</v>
      </c>
      <c r="K51" s="294"/>
      <c r="L51" s="296" t="s">
        <v>142</v>
      </c>
      <c r="M51" s="297"/>
      <c r="N51" s="288"/>
      <c r="O51" s="205" t="s">
        <v>144</v>
      </c>
      <c r="P51" s="304" t="s">
        <v>145</v>
      </c>
      <c r="Q51" s="305"/>
      <c r="R51" s="306"/>
      <c r="S51" s="307" t="s">
        <v>146</v>
      </c>
      <c r="T51" s="308"/>
      <c r="U51" s="308"/>
      <c r="V51" s="309"/>
    </row>
    <row r="52" spans="1:22" ht="16.899999999999999" customHeight="1">
      <c r="A52" s="280"/>
      <c r="B52" s="115" t="s">
        <v>149</v>
      </c>
      <c r="C52" s="14">
        <v>110</v>
      </c>
      <c r="D52" s="96" t="s">
        <v>521</v>
      </c>
      <c r="E52" s="168">
        <v>70</v>
      </c>
      <c r="F52" s="110" t="s">
        <v>522</v>
      </c>
      <c r="G52" s="188">
        <v>35</v>
      </c>
      <c r="H52" s="112" t="s">
        <v>306</v>
      </c>
      <c r="I52" s="177">
        <v>30</v>
      </c>
      <c r="J52" s="62" t="s">
        <v>147</v>
      </c>
      <c r="K52" s="175">
        <v>70</v>
      </c>
      <c r="L52" s="114" t="s">
        <v>148</v>
      </c>
      <c r="M52" s="168">
        <v>15</v>
      </c>
      <c r="N52" s="289"/>
      <c r="O52" s="18">
        <f>T53</f>
        <v>121.56043956043955</v>
      </c>
      <c r="P52" s="25" t="s">
        <v>15</v>
      </c>
      <c r="Q52" s="5">
        <f>C52/20+C53/20+E55/70</f>
        <v>7.5142857142857142</v>
      </c>
      <c r="R52" s="6" t="s">
        <v>16</v>
      </c>
      <c r="S52" s="7" t="s">
        <v>151</v>
      </c>
      <c r="T52" s="8">
        <f>Q58</f>
        <v>867.29808941058934</v>
      </c>
      <c r="U52" s="6" t="s">
        <v>132</v>
      </c>
      <c r="V52" s="9" t="s">
        <v>143</v>
      </c>
    </row>
    <row r="53" spans="1:22" ht="16.899999999999999" customHeight="1">
      <c r="A53" s="280"/>
      <c r="B53" s="35" t="s">
        <v>154</v>
      </c>
      <c r="C53" s="29">
        <v>40</v>
      </c>
      <c r="D53" s="30" t="s">
        <v>523</v>
      </c>
      <c r="E53" s="11">
        <v>10</v>
      </c>
      <c r="F53" s="116" t="s">
        <v>524</v>
      </c>
      <c r="G53" s="117">
        <v>15</v>
      </c>
      <c r="H53" s="118" t="s">
        <v>525</v>
      </c>
      <c r="I53" s="113">
        <v>10</v>
      </c>
      <c r="J53" s="30"/>
      <c r="K53" s="31"/>
      <c r="L53" s="119" t="s">
        <v>153</v>
      </c>
      <c r="M53" s="28">
        <v>10</v>
      </c>
      <c r="N53" s="289"/>
      <c r="O53" s="32" t="s">
        <v>79</v>
      </c>
      <c r="P53" s="19" t="s">
        <v>24</v>
      </c>
      <c r="Q53" s="20">
        <f>E52/35+G52/55+M52/80</f>
        <v>2.8238636363636362</v>
      </c>
      <c r="R53" s="21" t="s">
        <v>16</v>
      </c>
      <c r="S53" s="22" t="s">
        <v>80</v>
      </c>
      <c r="T53" s="23">
        <f>Q52*15+Q54*5+Q55*15+Q56*12</f>
        <v>121.56043956043955</v>
      </c>
      <c r="U53" s="21" t="s">
        <v>156</v>
      </c>
      <c r="V53" s="24">
        <f>T53*4/T52</f>
        <v>0.5606397202744966</v>
      </c>
    </row>
    <row r="54" spans="1:22" ht="16.899999999999999" customHeight="1">
      <c r="A54" s="280"/>
      <c r="B54" s="17"/>
      <c r="C54" s="29"/>
      <c r="D54" s="30" t="s">
        <v>526</v>
      </c>
      <c r="E54" s="11">
        <v>3</v>
      </c>
      <c r="F54" s="146" t="s">
        <v>523</v>
      </c>
      <c r="G54" s="117">
        <v>5</v>
      </c>
      <c r="H54" s="118" t="s">
        <v>524</v>
      </c>
      <c r="I54" s="113">
        <v>5</v>
      </c>
      <c r="J54" s="37"/>
      <c r="K54" s="11"/>
      <c r="L54" s="119" t="s">
        <v>158</v>
      </c>
      <c r="M54" s="95">
        <v>5</v>
      </c>
      <c r="N54" s="289"/>
      <c r="O54" s="18">
        <f>T54</f>
        <v>26.11931818181818</v>
      </c>
      <c r="P54" s="33" t="s">
        <v>86</v>
      </c>
      <c r="Q54" s="20">
        <f>(E53+G53+G54+G55+I52+I53+I54+I55+I56+K52+M53+M55+M56)/100</f>
        <v>1.7</v>
      </c>
      <c r="R54" s="21" t="s">
        <v>150</v>
      </c>
      <c r="S54" s="22" t="s">
        <v>87</v>
      </c>
      <c r="T54" s="23">
        <f>Q53*5+Q56*4+Q57*5</f>
        <v>26.11931818181818</v>
      </c>
      <c r="U54" s="21" t="s">
        <v>40</v>
      </c>
      <c r="V54" s="24">
        <f>T54*9/T52</f>
        <v>0.27104160208183836</v>
      </c>
    </row>
    <row r="55" spans="1:22" ht="16.899999999999999" customHeight="1">
      <c r="A55" s="280"/>
      <c r="B55" s="44"/>
      <c r="C55" s="45"/>
      <c r="D55" s="30" t="s">
        <v>527</v>
      </c>
      <c r="E55" s="11">
        <v>1</v>
      </c>
      <c r="F55" s="17" t="s">
        <v>528</v>
      </c>
      <c r="G55" s="29">
        <v>1</v>
      </c>
      <c r="H55" s="17" t="s">
        <v>529</v>
      </c>
      <c r="I55" s="29">
        <v>3</v>
      </c>
      <c r="J55" s="37"/>
      <c r="K55" s="11"/>
      <c r="L55" s="119" t="s">
        <v>82</v>
      </c>
      <c r="M55" s="28">
        <v>5</v>
      </c>
      <c r="N55" s="289"/>
      <c r="O55" s="32" t="s">
        <v>46</v>
      </c>
      <c r="P55" s="46" t="s">
        <v>88</v>
      </c>
      <c r="Q55" s="39">
        <f>E54/130</f>
        <v>2.3076923076923078E-2</v>
      </c>
      <c r="R55" s="21" t="s">
        <v>16</v>
      </c>
      <c r="S55" s="22" t="s">
        <v>159</v>
      </c>
      <c r="T55" s="23">
        <f>Q52*2+Q53*7+Q54*1+Q56*8</f>
        <v>36.495616883116881</v>
      </c>
      <c r="U55" s="21" t="s">
        <v>40</v>
      </c>
      <c r="V55" s="24">
        <f>T55*4/T52</f>
        <v>0.16831867764366498</v>
      </c>
    </row>
    <row r="56" spans="1:22" ht="16.899999999999999" customHeight="1">
      <c r="A56" s="280" t="s">
        <v>160</v>
      </c>
      <c r="B56" s="37"/>
      <c r="C56" s="29"/>
      <c r="D56" s="30"/>
      <c r="E56" s="11"/>
      <c r="F56" s="17"/>
      <c r="G56" s="29"/>
      <c r="H56" s="118" t="s">
        <v>530</v>
      </c>
      <c r="I56" s="121">
        <v>1</v>
      </c>
      <c r="J56" s="37"/>
      <c r="K56" s="11"/>
      <c r="L56" s="119" t="s">
        <v>311</v>
      </c>
      <c r="M56" s="28">
        <v>5</v>
      </c>
      <c r="N56" s="289"/>
      <c r="O56" s="18">
        <f>T55</f>
        <v>36.495616883116881</v>
      </c>
      <c r="P56" s="46" t="s">
        <v>47</v>
      </c>
      <c r="Q56" s="39">
        <v>0</v>
      </c>
      <c r="R56" s="21" t="s">
        <v>37</v>
      </c>
      <c r="S56" s="47"/>
      <c r="T56" s="47"/>
      <c r="U56" s="47"/>
      <c r="V56" s="48">
        <f>SUM(V53:V55)</f>
        <v>1</v>
      </c>
    </row>
    <row r="57" spans="1:22" ht="16.899999999999999" customHeight="1">
      <c r="A57" s="280"/>
      <c r="B57" s="17"/>
      <c r="C57" s="29"/>
      <c r="D57" s="35"/>
      <c r="E57" s="36"/>
      <c r="F57" s="17"/>
      <c r="G57" s="29"/>
      <c r="H57" s="84"/>
      <c r="I57" s="122"/>
      <c r="J57" s="37"/>
      <c r="K57" s="11"/>
      <c r="L57" s="91"/>
      <c r="M57" s="102"/>
      <c r="N57" s="289"/>
      <c r="O57" s="32" t="s">
        <v>93</v>
      </c>
      <c r="P57" s="50" t="s">
        <v>162</v>
      </c>
      <c r="Q57" s="39">
        <v>2.4</v>
      </c>
      <c r="R57" s="21" t="s">
        <v>150</v>
      </c>
      <c r="S57" s="51"/>
      <c r="T57" s="51"/>
      <c r="U57" s="51"/>
      <c r="V57" s="52"/>
    </row>
    <row r="58" spans="1:22" ht="16.2" customHeight="1" thickBot="1">
      <c r="A58" s="281"/>
      <c r="B58" s="282" t="s">
        <v>60</v>
      </c>
      <c r="C58" s="283"/>
      <c r="D58" s="282" t="s">
        <v>531</v>
      </c>
      <c r="E58" s="283"/>
      <c r="F58" s="282" t="s">
        <v>532</v>
      </c>
      <c r="G58" s="283"/>
      <c r="H58" s="282" t="s">
        <v>532</v>
      </c>
      <c r="I58" s="283"/>
      <c r="J58" s="282" t="s">
        <v>58</v>
      </c>
      <c r="K58" s="283"/>
      <c r="L58" s="282" t="s">
        <v>59</v>
      </c>
      <c r="M58" s="283"/>
      <c r="N58" s="290"/>
      <c r="O58" s="61">
        <f>Q58</f>
        <v>867.29808941058934</v>
      </c>
      <c r="P58" s="56" t="s">
        <v>54</v>
      </c>
      <c r="Q58" s="57">
        <f>Q52*68+Q53*73+Q54*24+Q55*60+Q56*112+Q57*45</f>
        <v>867.29808941058934</v>
      </c>
      <c r="R58" s="58" t="s">
        <v>61</v>
      </c>
      <c r="S58" s="59"/>
      <c r="T58" s="59"/>
      <c r="U58" s="59"/>
      <c r="V58" s="60"/>
    </row>
    <row r="59" spans="1:22" s="206" customFormat="1" ht="22.85" customHeight="1" thickBot="1">
      <c r="A59" s="295">
        <f>A51+1</f>
        <v>44145</v>
      </c>
      <c r="B59" s="293" t="s">
        <v>66</v>
      </c>
      <c r="C59" s="294"/>
      <c r="D59" s="296" t="s">
        <v>163</v>
      </c>
      <c r="E59" s="297"/>
      <c r="F59" s="296" t="s">
        <v>164</v>
      </c>
      <c r="G59" s="297"/>
      <c r="H59" s="293" t="s">
        <v>165</v>
      </c>
      <c r="I59" s="294"/>
      <c r="J59" s="293" t="s">
        <v>12</v>
      </c>
      <c r="K59" s="294"/>
      <c r="L59" s="296" t="s">
        <v>326</v>
      </c>
      <c r="M59" s="297"/>
      <c r="N59" s="291"/>
      <c r="O59" s="205" t="s">
        <v>67</v>
      </c>
      <c r="P59" s="304" t="s">
        <v>68</v>
      </c>
      <c r="Q59" s="305"/>
      <c r="R59" s="306"/>
      <c r="S59" s="307" t="s">
        <v>20</v>
      </c>
      <c r="T59" s="308"/>
      <c r="U59" s="308"/>
      <c r="V59" s="309"/>
    </row>
    <row r="60" spans="1:22" ht="16.899999999999999" customHeight="1">
      <c r="A60" s="280"/>
      <c r="B60" s="17" t="s">
        <v>23</v>
      </c>
      <c r="C60" s="14">
        <v>110</v>
      </c>
      <c r="D60" s="77" t="s">
        <v>166</v>
      </c>
      <c r="E60" s="162">
        <v>80</v>
      </c>
      <c r="F60" s="201" t="s">
        <v>323</v>
      </c>
      <c r="G60" s="163">
        <v>15</v>
      </c>
      <c r="H60" s="12" t="s">
        <v>167</v>
      </c>
      <c r="I60" s="165">
        <v>40</v>
      </c>
      <c r="J60" s="239" t="s">
        <v>666</v>
      </c>
      <c r="K60" s="175">
        <v>70</v>
      </c>
      <c r="L60" s="79" t="s">
        <v>327</v>
      </c>
      <c r="M60" s="168">
        <v>20</v>
      </c>
      <c r="N60" s="289"/>
      <c r="O60" s="18">
        <f>T61</f>
        <v>123.28333333333333</v>
      </c>
      <c r="P60" s="4" t="s">
        <v>15</v>
      </c>
      <c r="Q60" s="5">
        <f>C60/20+C61/20+E61/90</f>
        <v>7.7222222222222223</v>
      </c>
      <c r="R60" s="6" t="s">
        <v>37</v>
      </c>
      <c r="S60" s="65" t="s">
        <v>17</v>
      </c>
      <c r="T60" s="66">
        <f>Q66</f>
        <v>874.83539682539674</v>
      </c>
      <c r="U60" s="67" t="s">
        <v>61</v>
      </c>
      <c r="V60" s="68" t="s">
        <v>168</v>
      </c>
    </row>
    <row r="61" spans="1:22" ht="16.899999999999999" customHeight="1">
      <c r="A61" s="280"/>
      <c r="B61" s="17" t="s">
        <v>78</v>
      </c>
      <c r="C61" s="29">
        <v>40</v>
      </c>
      <c r="D61" s="37" t="s">
        <v>32</v>
      </c>
      <c r="E61" s="11">
        <v>20</v>
      </c>
      <c r="F61" s="30" t="s">
        <v>85</v>
      </c>
      <c r="G61" s="11">
        <v>10</v>
      </c>
      <c r="H61" s="17" t="s">
        <v>33</v>
      </c>
      <c r="I61" s="29">
        <v>5</v>
      </c>
      <c r="J61" s="30"/>
      <c r="K61" s="31"/>
      <c r="L61" s="49" t="s">
        <v>123</v>
      </c>
      <c r="M61" s="36">
        <v>10</v>
      </c>
      <c r="N61" s="289"/>
      <c r="O61" s="32" t="s">
        <v>79</v>
      </c>
      <c r="P61" s="19" t="s">
        <v>24</v>
      </c>
      <c r="Q61" s="20">
        <f>E60/40+G60/60+M61/35+G61/35</f>
        <v>2.8214285714285712</v>
      </c>
      <c r="R61" s="21" t="s">
        <v>37</v>
      </c>
      <c r="S61" s="22" t="s">
        <v>80</v>
      </c>
      <c r="T61" s="23">
        <f>Q60*15+Q62*5+Q63*15+Q64*12</f>
        <v>123.28333333333333</v>
      </c>
      <c r="U61" s="21" t="s">
        <v>155</v>
      </c>
      <c r="V61" s="24">
        <f>T61*4/T60</f>
        <v>0.56368699200194217</v>
      </c>
    </row>
    <row r="62" spans="1:22" ht="16.899999999999999" customHeight="1">
      <c r="A62" s="280"/>
      <c r="B62" s="75"/>
      <c r="C62" s="76"/>
      <c r="D62" s="124" t="s">
        <v>41</v>
      </c>
      <c r="E62" s="45">
        <v>5</v>
      </c>
      <c r="F62" s="17" t="s">
        <v>170</v>
      </c>
      <c r="G62" s="89">
        <v>1</v>
      </c>
      <c r="H62" s="37" t="s">
        <v>171</v>
      </c>
      <c r="I62" s="105" t="s">
        <v>320</v>
      </c>
      <c r="J62" s="37"/>
      <c r="K62" s="11"/>
      <c r="L62" s="30" t="s">
        <v>311</v>
      </c>
      <c r="M62" s="11">
        <v>5</v>
      </c>
      <c r="N62" s="289"/>
      <c r="O62" s="18">
        <f>T62</f>
        <v>26.107142857142854</v>
      </c>
      <c r="P62" s="33" t="s">
        <v>86</v>
      </c>
      <c r="Q62" s="20">
        <f>(E63+E62+G62+I60+K60+M60+M62+I61)/100</f>
        <v>1.49</v>
      </c>
      <c r="R62" s="21" t="s">
        <v>37</v>
      </c>
      <c r="S62" s="22" t="s">
        <v>87</v>
      </c>
      <c r="T62" s="23">
        <f>Q61*5+Q64*4+Q65*5</f>
        <v>26.107142857142854</v>
      </c>
      <c r="U62" s="21" t="s">
        <v>40</v>
      </c>
      <c r="V62" s="24">
        <f>T62*9/T60</f>
        <v>0.26858113716811671</v>
      </c>
    </row>
    <row r="63" spans="1:22" ht="16.899999999999999" customHeight="1">
      <c r="A63" s="280"/>
      <c r="B63" s="75"/>
      <c r="C63" s="76"/>
      <c r="D63" s="44" t="s">
        <v>311</v>
      </c>
      <c r="E63" s="45">
        <v>3</v>
      </c>
      <c r="F63" s="17"/>
      <c r="G63" s="89"/>
      <c r="H63" s="17"/>
      <c r="I63" s="29"/>
      <c r="J63" s="37"/>
      <c r="K63" s="11"/>
      <c r="L63" s="30"/>
      <c r="M63" s="11"/>
      <c r="N63" s="289"/>
      <c r="O63" s="32" t="s">
        <v>46</v>
      </c>
      <c r="P63" s="46" t="s">
        <v>88</v>
      </c>
      <c r="Q63" s="39">
        <v>0</v>
      </c>
      <c r="R63" s="21" t="s">
        <v>150</v>
      </c>
      <c r="S63" s="22" t="s">
        <v>89</v>
      </c>
      <c r="T63" s="23">
        <f>Q60*2+Q61*7+Q62*1+Q64*8</f>
        <v>36.684444444444445</v>
      </c>
      <c r="U63" s="21" t="s">
        <v>155</v>
      </c>
      <c r="V63" s="24">
        <f>T63*4/T60</f>
        <v>0.16773187082994118</v>
      </c>
    </row>
    <row r="64" spans="1:22" ht="16.899999999999999" customHeight="1">
      <c r="A64" s="280" t="s">
        <v>172</v>
      </c>
      <c r="B64" s="75"/>
      <c r="C64" s="76"/>
      <c r="D64" s="44"/>
      <c r="E64" s="45"/>
      <c r="F64" s="44"/>
      <c r="G64" s="90"/>
      <c r="H64" s="35"/>
      <c r="I64" s="29"/>
      <c r="J64" s="37"/>
      <c r="K64" s="11"/>
      <c r="L64" s="86"/>
      <c r="M64" s="45"/>
      <c r="N64" s="289"/>
      <c r="O64" s="18">
        <f>T63</f>
        <v>36.684444444444445</v>
      </c>
      <c r="P64" s="46" t="s">
        <v>47</v>
      </c>
      <c r="Q64" s="39">
        <v>0</v>
      </c>
      <c r="R64" s="21" t="s">
        <v>150</v>
      </c>
      <c r="S64" s="47"/>
      <c r="T64" s="47"/>
      <c r="U64" s="47"/>
      <c r="V64" s="48">
        <f>SUM(V61:V63)</f>
        <v>1</v>
      </c>
    </row>
    <row r="65" spans="1:22" ht="16.899999999999999" customHeight="1">
      <c r="A65" s="280"/>
      <c r="B65" s="75"/>
      <c r="C65" s="76"/>
      <c r="D65" s="17"/>
      <c r="E65" s="29"/>
      <c r="F65" s="27"/>
      <c r="G65" s="125"/>
      <c r="H65" s="44"/>
      <c r="I65" s="45"/>
      <c r="J65" s="37"/>
      <c r="K65" s="11"/>
      <c r="L65" s="126"/>
      <c r="M65" s="127"/>
      <c r="N65" s="289"/>
      <c r="O65" s="32" t="s">
        <v>161</v>
      </c>
      <c r="P65" s="50" t="s">
        <v>173</v>
      </c>
      <c r="Q65" s="39">
        <v>2.4</v>
      </c>
      <c r="R65" s="21" t="s">
        <v>126</v>
      </c>
      <c r="S65" s="51"/>
      <c r="T65" s="51"/>
      <c r="U65" s="51"/>
      <c r="V65" s="52"/>
    </row>
    <row r="66" spans="1:22" ht="16.2" customHeight="1" thickBot="1">
      <c r="A66" s="281"/>
      <c r="B66" s="282" t="s">
        <v>130</v>
      </c>
      <c r="C66" s="283"/>
      <c r="D66" s="282" t="s">
        <v>174</v>
      </c>
      <c r="E66" s="283"/>
      <c r="F66" s="282" t="s">
        <v>59</v>
      </c>
      <c r="G66" s="283"/>
      <c r="H66" s="282" t="s">
        <v>627</v>
      </c>
      <c r="I66" s="283"/>
      <c r="J66" s="282" t="s">
        <v>175</v>
      </c>
      <c r="K66" s="283"/>
      <c r="L66" s="282" t="s">
        <v>176</v>
      </c>
      <c r="M66" s="283"/>
      <c r="N66" s="290"/>
      <c r="O66" s="61">
        <f>Q66</f>
        <v>874.83539682539674</v>
      </c>
      <c r="P66" s="56" t="s">
        <v>131</v>
      </c>
      <c r="Q66" s="57">
        <f>Q60*68+Q61*73+Q62*24+Q63*60+Q64*112+Q65*45</f>
        <v>874.83539682539674</v>
      </c>
      <c r="R66" s="58" t="s">
        <v>61</v>
      </c>
      <c r="S66" s="59"/>
      <c r="T66" s="59"/>
      <c r="U66" s="59"/>
      <c r="V66" s="60"/>
    </row>
    <row r="67" spans="1:22" s="206" customFormat="1" ht="22.85" customHeight="1" thickBot="1">
      <c r="A67" s="295">
        <f>A59+1</f>
        <v>44146</v>
      </c>
      <c r="B67" s="293" t="s">
        <v>533</v>
      </c>
      <c r="C67" s="294"/>
      <c r="D67" s="296" t="s">
        <v>634</v>
      </c>
      <c r="E67" s="297"/>
      <c r="F67" s="296" t="s">
        <v>178</v>
      </c>
      <c r="G67" s="297"/>
      <c r="H67" s="296" t="s">
        <v>538</v>
      </c>
      <c r="I67" s="297"/>
      <c r="J67" s="293" t="s">
        <v>12</v>
      </c>
      <c r="K67" s="294"/>
      <c r="L67" s="293" t="s">
        <v>541</v>
      </c>
      <c r="M67" s="294"/>
      <c r="N67" s="288"/>
      <c r="O67" s="205" t="s">
        <v>67</v>
      </c>
      <c r="P67" s="304" t="s">
        <v>180</v>
      </c>
      <c r="Q67" s="305"/>
      <c r="R67" s="306"/>
      <c r="S67" s="307" t="s">
        <v>181</v>
      </c>
      <c r="T67" s="308"/>
      <c r="U67" s="308"/>
      <c r="V67" s="309"/>
    </row>
    <row r="68" spans="1:22" ht="16.899999999999999" customHeight="1">
      <c r="A68" s="280"/>
      <c r="B68" s="153" t="s">
        <v>534</v>
      </c>
      <c r="C68" s="82">
        <v>180</v>
      </c>
      <c r="D68" s="128" t="s">
        <v>636</v>
      </c>
      <c r="E68" s="181">
        <v>70</v>
      </c>
      <c r="F68" s="12" t="s">
        <v>108</v>
      </c>
      <c r="G68" s="163">
        <v>30</v>
      </c>
      <c r="H68" s="12" t="s">
        <v>539</v>
      </c>
      <c r="I68" s="163">
        <v>30</v>
      </c>
      <c r="J68" s="182" t="s">
        <v>182</v>
      </c>
      <c r="K68" s="175">
        <v>120</v>
      </c>
      <c r="L68" s="138" t="s">
        <v>542</v>
      </c>
      <c r="M68" s="161">
        <v>15</v>
      </c>
      <c r="N68" s="289"/>
      <c r="O68" s="18">
        <f>T69</f>
        <v>124.58235294117647</v>
      </c>
      <c r="P68" s="4" t="s">
        <v>15</v>
      </c>
      <c r="Q68" s="5">
        <f>C68/30+I68/2/30+M68/15+G69/85</f>
        <v>7.5588235294117645</v>
      </c>
      <c r="R68" s="6" t="s">
        <v>37</v>
      </c>
      <c r="S68" s="65" t="s">
        <v>183</v>
      </c>
      <c r="T68" s="66">
        <f>Q74</f>
        <v>893.46779220779217</v>
      </c>
      <c r="U68" s="67" t="s">
        <v>132</v>
      </c>
      <c r="V68" s="83"/>
    </row>
    <row r="69" spans="1:22" ht="16.899999999999999" customHeight="1">
      <c r="A69" s="280"/>
      <c r="B69" s="37" t="s">
        <v>535</v>
      </c>
      <c r="C69" s="76">
        <v>15</v>
      </c>
      <c r="D69" s="44"/>
      <c r="E69" s="45"/>
      <c r="F69" s="30" t="s">
        <v>184</v>
      </c>
      <c r="G69" s="31">
        <v>5</v>
      </c>
      <c r="H69" s="30"/>
      <c r="I69" s="31"/>
      <c r="J69" s="87"/>
      <c r="K69" s="74"/>
      <c r="L69" s="132" t="s">
        <v>629</v>
      </c>
      <c r="M69" s="31">
        <v>5</v>
      </c>
      <c r="N69" s="289"/>
      <c r="O69" s="32" t="s">
        <v>169</v>
      </c>
      <c r="P69" s="19" t="s">
        <v>24</v>
      </c>
      <c r="Q69" s="20">
        <f>E68/35+G70/55+I68/2/35+C69/35</f>
        <v>2.9480519480519476</v>
      </c>
      <c r="R69" s="21" t="s">
        <v>37</v>
      </c>
      <c r="S69" s="22" t="s">
        <v>186</v>
      </c>
      <c r="T69" s="23">
        <f>Q68*15+Q70*5+Q71*15+Q72*12</f>
        <v>124.58235294117647</v>
      </c>
      <c r="U69" s="21" t="s">
        <v>187</v>
      </c>
      <c r="V69" s="24">
        <f>T69*4/T68</f>
        <v>0.55774748246191996</v>
      </c>
    </row>
    <row r="70" spans="1:22" ht="16.899999999999999" customHeight="1">
      <c r="A70" s="280"/>
      <c r="B70" s="37" t="s">
        <v>536</v>
      </c>
      <c r="C70" s="76">
        <v>10</v>
      </c>
      <c r="D70" s="27"/>
      <c r="E70" s="36"/>
      <c r="F70" s="30" t="s">
        <v>190</v>
      </c>
      <c r="G70" s="31">
        <v>5</v>
      </c>
      <c r="H70" s="30"/>
      <c r="I70" s="31"/>
      <c r="J70" s="87"/>
      <c r="K70" s="11"/>
      <c r="L70" s="35"/>
      <c r="M70" s="95"/>
      <c r="N70" s="289"/>
      <c r="O70" s="18">
        <f>T70</f>
        <v>27.240259740259738</v>
      </c>
      <c r="P70" s="33" t="s">
        <v>189</v>
      </c>
      <c r="Q70" s="20">
        <f>(C70+C71+C72+G68+G71+G72+K68)/100</f>
        <v>1.74</v>
      </c>
      <c r="R70" s="21" t="s">
        <v>150</v>
      </c>
      <c r="S70" s="22" t="s">
        <v>87</v>
      </c>
      <c r="T70" s="23">
        <f>Q69*5+Q72*4+Q73*5</f>
        <v>27.240259740259738</v>
      </c>
      <c r="U70" s="21" t="s">
        <v>155</v>
      </c>
      <c r="V70" s="24">
        <f>T70*9/T68</f>
        <v>0.27439415253742094</v>
      </c>
    </row>
    <row r="71" spans="1:22" ht="16.899999999999999" customHeight="1">
      <c r="A71" s="280"/>
      <c r="B71" s="86" t="s">
        <v>516</v>
      </c>
      <c r="C71" s="28">
        <v>5</v>
      </c>
      <c r="D71" s="30"/>
      <c r="E71" s="11"/>
      <c r="F71" s="30" t="s">
        <v>193</v>
      </c>
      <c r="G71" s="31">
        <v>5</v>
      </c>
      <c r="H71" s="30"/>
      <c r="I71" s="31"/>
      <c r="J71" s="87"/>
      <c r="K71" s="11"/>
      <c r="L71" s="17"/>
      <c r="M71" s="95"/>
      <c r="N71" s="289"/>
      <c r="O71" s="32" t="s">
        <v>192</v>
      </c>
      <c r="P71" s="46" t="s">
        <v>191</v>
      </c>
      <c r="Q71" s="39">
        <f>M69/30</f>
        <v>0.16666666666666666</v>
      </c>
      <c r="R71" s="21" t="s">
        <v>37</v>
      </c>
      <c r="S71" s="22" t="s">
        <v>89</v>
      </c>
      <c r="T71" s="23">
        <f>Q68*2+Q69*7+Q70*1+Q72*8</f>
        <v>37.494010695187164</v>
      </c>
      <c r="U71" s="21" t="s">
        <v>155</v>
      </c>
      <c r="V71" s="24">
        <f>T71*4/T68</f>
        <v>0.16785836500065915</v>
      </c>
    </row>
    <row r="72" spans="1:22" ht="16.899999999999999" customHeight="1">
      <c r="A72" s="280" t="s">
        <v>109</v>
      </c>
      <c r="B72" s="37" t="s">
        <v>537</v>
      </c>
      <c r="C72" s="76">
        <v>1</v>
      </c>
      <c r="D72" s="130"/>
      <c r="E72" s="131"/>
      <c r="F72" s="44" t="s">
        <v>33</v>
      </c>
      <c r="G72" s="45">
        <v>3</v>
      </c>
      <c r="H72" s="44"/>
      <c r="I72" s="45"/>
      <c r="J72" s="87"/>
      <c r="K72" s="11"/>
      <c r="L72" s="87"/>
      <c r="M72" s="29"/>
      <c r="N72" s="289"/>
      <c r="O72" s="18">
        <f>T71</f>
        <v>37.494010695187164</v>
      </c>
      <c r="P72" s="46" t="s">
        <v>47</v>
      </c>
      <c r="Q72" s="39">
        <v>0</v>
      </c>
      <c r="R72" s="21" t="s">
        <v>194</v>
      </c>
      <c r="S72" s="47"/>
      <c r="T72" s="47"/>
      <c r="U72" s="47"/>
      <c r="V72" s="48">
        <f>SUM(V69:V71)</f>
        <v>1</v>
      </c>
    </row>
    <row r="73" spans="1:22" ht="16.899999999999999" customHeight="1">
      <c r="A73" s="280"/>
      <c r="B73" s="94"/>
      <c r="C73" s="95"/>
      <c r="D73" s="44"/>
      <c r="E73" s="45"/>
      <c r="F73" s="44"/>
      <c r="G73" s="45"/>
      <c r="H73" s="44"/>
      <c r="I73" s="45"/>
      <c r="J73" s="55"/>
      <c r="K73" s="105"/>
      <c r="L73" s="91"/>
      <c r="M73" s="102"/>
      <c r="N73" s="289"/>
      <c r="O73" s="32" t="s">
        <v>93</v>
      </c>
      <c r="P73" s="50" t="s">
        <v>92</v>
      </c>
      <c r="Q73" s="39">
        <v>2.5</v>
      </c>
      <c r="R73" s="21" t="s">
        <v>37</v>
      </c>
      <c r="S73" s="51"/>
      <c r="T73" s="51"/>
      <c r="U73" s="51"/>
      <c r="V73" s="52"/>
    </row>
    <row r="74" spans="1:22" ht="16.2" customHeight="1" thickBot="1">
      <c r="A74" s="281"/>
      <c r="B74" s="282" t="s">
        <v>517</v>
      </c>
      <c r="C74" s="283"/>
      <c r="D74" s="282" t="s">
        <v>628</v>
      </c>
      <c r="E74" s="283"/>
      <c r="F74" s="282" t="s">
        <v>195</v>
      </c>
      <c r="G74" s="283"/>
      <c r="H74" s="282" t="s">
        <v>540</v>
      </c>
      <c r="I74" s="283"/>
      <c r="J74" s="292" t="s">
        <v>175</v>
      </c>
      <c r="K74" s="283"/>
      <c r="L74" s="282" t="s">
        <v>174</v>
      </c>
      <c r="M74" s="283"/>
      <c r="N74" s="290"/>
      <c r="O74" s="61">
        <f>Q74</f>
        <v>893.46779220779217</v>
      </c>
      <c r="P74" s="56" t="s">
        <v>196</v>
      </c>
      <c r="Q74" s="57">
        <f>Q68*68+Q69*73+Q70*24+Q71*60+Q72*112+Q73*45</f>
        <v>893.46779220779217</v>
      </c>
      <c r="R74" s="58" t="s">
        <v>61</v>
      </c>
      <c r="S74" s="59"/>
      <c r="T74" s="59"/>
      <c r="U74" s="59"/>
      <c r="V74" s="60"/>
    </row>
    <row r="75" spans="1:22" s="206" customFormat="1" ht="22.85" customHeight="1" thickBot="1">
      <c r="A75" s="295">
        <f>A67+1</f>
        <v>44147</v>
      </c>
      <c r="B75" s="314" t="s">
        <v>496</v>
      </c>
      <c r="C75" s="315"/>
      <c r="D75" s="296" t="s">
        <v>543</v>
      </c>
      <c r="E75" s="297"/>
      <c r="F75" s="296" t="s">
        <v>547</v>
      </c>
      <c r="G75" s="297"/>
      <c r="H75" s="312" t="s">
        <v>197</v>
      </c>
      <c r="I75" s="313"/>
      <c r="J75" s="293" t="s">
        <v>141</v>
      </c>
      <c r="K75" s="294"/>
      <c r="L75" s="296" t="s">
        <v>554</v>
      </c>
      <c r="M75" s="297"/>
      <c r="N75" s="288"/>
      <c r="O75" s="205" t="s">
        <v>67</v>
      </c>
      <c r="P75" s="304" t="s">
        <v>68</v>
      </c>
      <c r="Q75" s="305"/>
      <c r="R75" s="306"/>
      <c r="S75" s="307" t="s">
        <v>198</v>
      </c>
      <c r="T75" s="308"/>
      <c r="U75" s="308"/>
      <c r="V75" s="309"/>
    </row>
    <row r="76" spans="1:22" ht="16.899999999999999" customHeight="1">
      <c r="A76" s="280"/>
      <c r="B76" s="169" t="s">
        <v>497</v>
      </c>
      <c r="C76" s="170">
        <v>110</v>
      </c>
      <c r="D76" s="10" t="s">
        <v>544</v>
      </c>
      <c r="E76" s="161">
        <v>90</v>
      </c>
      <c r="F76" s="77" t="s">
        <v>548</v>
      </c>
      <c r="G76" s="165">
        <v>45</v>
      </c>
      <c r="H76" s="133" t="s">
        <v>199</v>
      </c>
      <c r="I76" s="186">
        <v>25</v>
      </c>
      <c r="J76" s="63" t="s">
        <v>200</v>
      </c>
      <c r="K76" s="166">
        <v>80</v>
      </c>
      <c r="L76" s="12" t="s">
        <v>555</v>
      </c>
      <c r="M76" s="14">
        <v>1</v>
      </c>
      <c r="N76" s="289"/>
      <c r="O76" s="18">
        <f>T77</f>
        <v>121.4</v>
      </c>
      <c r="P76" s="4" t="s">
        <v>15</v>
      </c>
      <c r="Q76" s="5">
        <f>C76/20+C77/20</f>
        <v>7.5</v>
      </c>
      <c r="R76" s="6" t="s">
        <v>37</v>
      </c>
      <c r="S76" s="65" t="s">
        <v>17</v>
      </c>
      <c r="T76" s="66">
        <f>Q82</f>
        <v>883.79337662337662</v>
      </c>
      <c r="U76" s="67" t="s">
        <v>61</v>
      </c>
      <c r="V76" s="68" t="s">
        <v>168</v>
      </c>
    </row>
    <row r="77" spans="1:22" ht="16.899999999999999" customHeight="1">
      <c r="A77" s="280"/>
      <c r="B77" s="185" t="s">
        <v>498</v>
      </c>
      <c r="C77" s="171">
        <v>40</v>
      </c>
      <c r="D77" s="17" t="s">
        <v>502</v>
      </c>
      <c r="E77" s="197" t="s">
        <v>545</v>
      </c>
      <c r="F77" s="35" t="s">
        <v>549</v>
      </c>
      <c r="G77" s="29">
        <v>5</v>
      </c>
      <c r="H77" s="135" t="s">
        <v>201</v>
      </c>
      <c r="I77" s="121">
        <v>15</v>
      </c>
      <c r="J77" s="93"/>
      <c r="K77" s="92"/>
      <c r="L77" s="30" t="s">
        <v>556</v>
      </c>
      <c r="M77" s="11">
        <v>15</v>
      </c>
      <c r="N77" s="289"/>
      <c r="O77" s="32" t="s">
        <v>79</v>
      </c>
      <c r="P77" s="19" t="s">
        <v>24</v>
      </c>
      <c r="Q77" s="20">
        <f>E76/40+G79/70+I77/35+M77/55</f>
        <v>2.994155844155844</v>
      </c>
      <c r="R77" s="21" t="s">
        <v>150</v>
      </c>
      <c r="S77" s="22" t="s">
        <v>80</v>
      </c>
      <c r="T77" s="23">
        <f>Q76*15+Q78*5+Q79*15+Q80*12</f>
        <v>121.4</v>
      </c>
      <c r="U77" s="21" t="s">
        <v>155</v>
      </c>
      <c r="V77" s="24">
        <f>T77*4/T76</f>
        <v>0.54944969360970397</v>
      </c>
    </row>
    <row r="78" spans="1:22" ht="16.899999999999999" customHeight="1">
      <c r="A78" s="280"/>
      <c r="B78" s="87"/>
      <c r="C78" s="172"/>
      <c r="D78" s="35"/>
      <c r="E78" s="36"/>
      <c r="F78" s="35" t="s">
        <v>550</v>
      </c>
      <c r="G78" s="29">
        <v>5</v>
      </c>
      <c r="H78" s="135" t="s">
        <v>203</v>
      </c>
      <c r="I78" s="121">
        <v>10</v>
      </c>
      <c r="J78" s="17"/>
      <c r="K78" s="29"/>
      <c r="L78" s="49" t="s">
        <v>557</v>
      </c>
      <c r="M78" s="36">
        <v>1</v>
      </c>
      <c r="N78" s="289"/>
      <c r="O78" s="18">
        <f>T78</f>
        <v>27.470779220779221</v>
      </c>
      <c r="P78" s="33" t="s">
        <v>86</v>
      </c>
      <c r="Q78" s="20">
        <f>(G76+G77+G78+G80+I76+I78+I79+K76+M76+M78)/100</f>
        <v>1.78</v>
      </c>
      <c r="R78" s="21" t="s">
        <v>37</v>
      </c>
      <c r="S78" s="22" t="s">
        <v>87</v>
      </c>
      <c r="T78" s="23">
        <f>Q77*5+Q80*4+Q81*5</f>
        <v>27.470779220779221</v>
      </c>
      <c r="U78" s="21" t="s">
        <v>40</v>
      </c>
      <c r="V78" s="24">
        <f>T78*9/T76</f>
        <v>0.27974526572218428</v>
      </c>
    </row>
    <row r="79" spans="1:22" ht="16.899999999999999" customHeight="1">
      <c r="A79" s="280"/>
      <c r="B79" s="174"/>
      <c r="C79" s="171"/>
      <c r="D79" s="316"/>
      <c r="E79" s="317"/>
      <c r="F79" s="199" t="s">
        <v>551</v>
      </c>
      <c r="G79" s="29">
        <v>3</v>
      </c>
      <c r="H79" s="136" t="s">
        <v>33</v>
      </c>
      <c r="I79" s="121">
        <v>5</v>
      </c>
      <c r="J79" s="44"/>
      <c r="K79" s="45"/>
      <c r="L79" s="30"/>
      <c r="M79" s="29"/>
      <c r="N79" s="289"/>
      <c r="O79" s="32" t="s">
        <v>46</v>
      </c>
      <c r="P79" s="46" t="s">
        <v>88</v>
      </c>
      <c r="Q79" s="39">
        <v>0</v>
      </c>
      <c r="R79" s="21" t="s">
        <v>37</v>
      </c>
      <c r="S79" s="22" t="s">
        <v>89</v>
      </c>
      <c r="T79" s="23">
        <f>Q76*2+Q77*7+Q78*1+Q80*8</f>
        <v>37.739090909090905</v>
      </c>
      <c r="U79" s="21" t="s">
        <v>40</v>
      </c>
      <c r="V79" s="24">
        <f>T79*4/T76</f>
        <v>0.17080504066811172</v>
      </c>
    </row>
    <row r="80" spans="1:22" ht="16.899999999999999" customHeight="1">
      <c r="A80" s="280" t="s">
        <v>119</v>
      </c>
      <c r="B80" s="173"/>
      <c r="C80" s="171"/>
      <c r="D80" s="318"/>
      <c r="E80" s="319"/>
      <c r="F80" s="49" t="s">
        <v>552</v>
      </c>
      <c r="G80" s="29">
        <v>1</v>
      </c>
      <c r="H80" s="49"/>
      <c r="I80" s="29"/>
      <c r="J80" s="27"/>
      <c r="K80" s="125"/>
      <c r="L80" s="37"/>
      <c r="M80" s="29"/>
      <c r="N80" s="289"/>
      <c r="O80" s="18">
        <f>T79</f>
        <v>37.739090909090905</v>
      </c>
      <c r="P80" s="46" t="s">
        <v>47</v>
      </c>
      <c r="Q80" s="39">
        <v>0</v>
      </c>
      <c r="R80" s="21" t="s">
        <v>194</v>
      </c>
      <c r="S80" s="47"/>
      <c r="T80" s="47"/>
      <c r="U80" s="47"/>
      <c r="V80" s="48">
        <f>SUM(V77:V79)</f>
        <v>1</v>
      </c>
    </row>
    <row r="81" spans="1:22" ht="16.899999999999999" customHeight="1">
      <c r="A81" s="280"/>
      <c r="B81" s="174"/>
      <c r="C81" s="171"/>
      <c r="D81" s="320"/>
      <c r="E81" s="319"/>
      <c r="F81" s="37" t="s">
        <v>553</v>
      </c>
      <c r="G81" s="198" t="s">
        <v>545</v>
      </c>
      <c r="H81" s="137"/>
      <c r="I81" s="11"/>
      <c r="J81" s="27"/>
      <c r="K81" s="125"/>
      <c r="L81" s="37"/>
      <c r="M81" s="11"/>
      <c r="N81" s="289"/>
      <c r="O81" s="32" t="s">
        <v>93</v>
      </c>
      <c r="P81" s="50" t="s">
        <v>92</v>
      </c>
      <c r="Q81" s="39">
        <v>2.5</v>
      </c>
      <c r="R81" s="21" t="s">
        <v>37</v>
      </c>
      <c r="S81" s="51"/>
      <c r="T81" s="51"/>
      <c r="U81" s="51"/>
      <c r="V81" s="52"/>
    </row>
    <row r="82" spans="1:22" ht="16.2" customHeight="1" thickBot="1">
      <c r="A82" s="281"/>
      <c r="B82" s="286" t="s">
        <v>499</v>
      </c>
      <c r="C82" s="287"/>
      <c r="D82" s="284" t="s">
        <v>546</v>
      </c>
      <c r="E82" s="285"/>
      <c r="F82" s="282" t="s">
        <v>503</v>
      </c>
      <c r="G82" s="283"/>
      <c r="H82" s="282" t="s">
        <v>95</v>
      </c>
      <c r="I82" s="283"/>
      <c r="J82" s="282" t="s">
        <v>58</v>
      </c>
      <c r="K82" s="283"/>
      <c r="L82" s="282" t="s">
        <v>503</v>
      </c>
      <c r="M82" s="283"/>
      <c r="N82" s="290"/>
      <c r="O82" s="61">
        <f>Q82</f>
        <v>883.79337662337662</v>
      </c>
      <c r="P82" s="56" t="s">
        <v>54</v>
      </c>
      <c r="Q82" s="57">
        <f>Q76*68+Q77*73+Q78*24+Q79*60+Q80*112+Q81*45</f>
        <v>883.79337662337662</v>
      </c>
      <c r="R82" s="58" t="s">
        <v>61</v>
      </c>
      <c r="S82" s="59"/>
      <c r="T82" s="59"/>
      <c r="U82" s="59"/>
      <c r="V82" s="60"/>
    </row>
    <row r="83" spans="1:22" s="206" customFormat="1" ht="22.85" customHeight="1" thickBot="1">
      <c r="A83" s="295">
        <f>A75+1</f>
        <v>44148</v>
      </c>
      <c r="B83" s="321" t="s">
        <v>100</v>
      </c>
      <c r="C83" s="321"/>
      <c r="D83" s="293" t="s">
        <v>204</v>
      </c>
      <c r="E83" s="294"/>
      <c r="F83" s="296" t="s">
        <v>558</v>
      </c>
      <c r="G83" s="297"/>
      <c r="H83" s="296" t="s">
        <v>205</v>
      </c>
      <c r="I83" s="297"/>
      <c r="J83" s="293" t="s">
        <v>206</v>
      </c>
      <c r="K83" s="294"/>
      <c r="L83" s="293" t="s">
        <v>621</v>
      </c>
      <c r="M83" s="294"/>
      <c r="N83" s="288"/>
      <c r="O83" s="205" t="s">
        <v>67</v>
      </c>
      <c r="P83" s="304" t="s">
        <v>68</v>
      </c>
      <c r="Q83" s="305"/>
      <c r="R83" s="306"/>
      <c r="S83" s="307" t="s">
        <v>198</v>
      </c>
      <c r="T83" s="308"/>
      <c r="U83" s="308"/>
      <c r="V83" s="309"/>
    </row>
    <row r="84" spans="1:22" ht="16.899999999999999" customHeight="1">
      <c r="A84" s="280"/>
      <c r="B84" s="81" t="s">
        <v>74</v>
      </c>
      <c r="C84" s="82">
        <v>150</v>
      </c>
      <c r="D84" s="10" t="s">
        <v>207</v>
      </c>
      <c r="E84" s="161">
        <v>40</v>
      </c>
      <c r="F84" s="138" t="s">
        <v>208</v>
      </c>
      <c r="G84" s="164">
        <v>30</v>
      </c>
      <c r="H84" s="12" t="s">
        <v>209</v>
      </c>
      <c r="I84" s="163">
        <v>55</v>
      </c>
      <c r="J84" s="15" t="s">
        <v>559</v>
      </c>
      <c r="K84" s="165">
        <v>90</v>
      </c>
      <c r="L84" s="79" t="s">
        <v>108</v>
      </c>
      <c r="M84" s="168">
        <v>20</v>
      </c>
      <c r="N84" s="289"/>
      <c r="O84" s="18">
        <f>T85</f>
        <v>124.54369747899159</v>
      </c>
      <c r="P84" s="4" t="s">
        <v>15</v>
      </c>
      <c r="Q84" s="5">
        <f>C84/20+G86/30+I85/85+I87/70</f>
        <v>7.7162464985994399</v>
      </c>
      <c r="R84" s="6" t="s">
        <v>37</v>
      </c>
      <c r="S84" s="65" t="s">
        <v>17</v>
      </c>
      <c r="T84" s="66">
        <f>Q90</f>
        <v>841.80190476190478</v>
      </c>
      <c r="U84" s="67" t="s">
        <v>61</v>
      </c>
      <c r="V84" s="68" t="s">
        <v>168</v>
      </c>
    </row>
    <row r="85" spans="1:22" ht="16.899999999999999" customHeight="1">
      <c r="A85" s="280"/>
      <c r="B85" s="75"/>
      <c r="C85" s="76"/>
      <c r="D85" s="27" t="s">
        <v>51</v>
      </c>
      <c r="E85" s="28">
        <v>5</v>
      </c>
      <c r="F85" s="132" t="s">
        <v>306</v>
      </c>
      <c r="G85" s="131">
        <v>20</v>
      </c>
      <c r="H85" s="30" t="s">
        <v>322</v>
      </c>
      <c r="I85" s="11">
        <v>3</v>
      </c>
      <c r="J85" s="35"/>
      <c r="K85" s="29"/>
      <c r="L85" s="49" t="s">
        <v>123</v>
      </c>
      <c r="M85" s="36">
        <v>5</v>
      </c>
      <c r="N85" s="289"/>
      <c r="O85" s="32" t="s">
        <v>79</v>
      </c>
      <c r="P85" s="19" t="s">
        <v>24</v>
      </c>
      <c r="Q85" s="20">
        <f>E84/35+I84/55+M85/35</f>
        <v>2.2857142857142856</v>
      </c>
      <c r="R85" s="21" t="s">
        <v>37</v>
      </c>
      <c r="S85" s="22" t="s">
        <v>80</v>
      </c>
      <c r="T85" s="23">
        <f>Q84*15+Q86*5+Q87*15+Q88*12</f>
        <v>124.54369747899159</v>
      </c>
      <c r="U85" s="21" t="s">
        <v>40</v>
      </c>
      <c r="V85" s="24">
        <f>T85*4/T84</f>
        <v>0.59179575039910381</v>
      </c>
    </row>
    <row r="86" spans="1:22" ht="16.899999999999999" customHeight="1">
      <c r="A86" s="280"/>
      <c r="B86" s="75"/>
      <c r="C86" s="76"/>
      <c r="D86" s="30" t="s">
        <v>211</v>
      </c>
      <c r="E86" s="11">
        <v>1</v>
      </c>
      <c r="F86" s="132" t="s">
        <v>210</v>
      </c>
      <c r="G86" s="131">
        <v>5</v>
      </c>
      <c r="H86" s="30" t="s">
        <v>33</v>
      </c>
      <c r="I86" s="11">
        <v>3</v>
      </c>
      <c r="J86" s="35"/>
      <c r="K86" s="29"/>
      <c r="L86" s="49" t="s">
        <v>157</v>
      </c>
      <c r="M86" s="36">
        <v>3</v>
      </c>
      <c r="N86" s="289"/>
      <c r="O86" s="18">
        <f>T86</f>
        <v>23.428571428571427</v>
      </c>
      <c r="P86" s="33" t="s">
        <v>189</v>
      </c>
      <c r="Q86" s="20">
        <f>(E85+E86+E87+G84+G85+G87+I86+M84+K84+M86)/100</f>
        <v>1.76</v>
      </c>
      <c r="R86" s="21" t="s">
        <v>194</v>
      </c>
      <c r="S86" s="22" t="s">
        <v>212</v>
      </c>
      <c r="T86" s="23">
        <f>Q85*5+Q88*4+Q89*5</f>
        <v>23.428571428571427</v>
      </c>
      <c r="U86" s="21" t="s">
        <v>187</v>
      </c>
      <c r="V86" s="24">
        <f>T86*9/T84</f>
        <v>0.25048309069433816</v>
      </c>
    </row>
    <row r="87" spans="1:22" ht="16.899999999999999" customHeight="1">
      <c r="A87" s="280"/>
      <c r="B87" s="86"/>
      <c r="C87" s="28"/>
      <c r="D87" s="40" t="s">
        <v>213</v>
      </c>
      <c r="E87" s="11">
        <v>1</v>
      </c>
      <c r="F87" s="49" t="s">
        <v>214</v>
      </c>
      <c r="G87" s="29">
        <v>3</v>
      </c>
      <c r="H87" s="30" t="s">
        <v>215</v>
      </c>
      <c r="I87" s="11">
        <v>1</v>
      </c>
      <c r="J87" s="17"/>
      <c r="K87" s="29"/>
      <c r="L87" s="30"/>
      <c r="M87" s="95"/>
      <c r="N87" s="289"/>
      <c r="O87" s="32" t="s">
        <v>46</v>
      </c>
      <c r="P87" s="46" t="s">
        <v>191</v>
      </c>
      <c r="Q87" s="39">
        <v>0</v>
      </c>
      <c r="R87" s="21" t="s">
        <v>194</v>
      </c>
      <c r="S87" s="22" t="s">
        <v>89</v>
      </c>
      <c r="T87" s="23">
        <f>Q84*2+Q85*7+Q86*1+Q88*8</f>
        <v>33.192492997198876</v>
      </c>
      <c r="U87" s="21" t="s">
        <v>156</v>
      </c>
      <c r="V87" s="24">
        <f>T87*4/T84</f>
        <v>0.15772115890655791</v>
      </c>
    </row>
    <row r="88" spans="1:22" ht="16.899999999999999" customHeight="1">
      <c r="A88" s="280" t="s">
        <v>217</v>
      </c>
      <c r="B88" s="75"/>
      <c r="C88" s="76"/>
      <c r="D88" s="40" t="s">
        <v>218</v>
      </c>
      <c r="E88" s="198" t="s">
        <v>321</v>
      </c>
      <c r="F88" s="49"/>
      <c r="G88" s="29"/>
      <c r="H88" s="27"/>
      <c r="I88" s="28"/>
      <c r="J88" s="17"/>
      <c r="K88" s="29"/>
      <c r="L88" s="86"/>
      <c r="M88" s="45"/>
      <c r="N88" s="289"/>
      <c r="O88" s="18">
        <f>T87</f>
        <v>33.192492997198876</v>
      </c>
      <c r="P88" s="46" t="s">
        <v>47</v>
      </c>
      <c r="Q88" s="39">
        <v>0</v>
      </c>
      <c r="R88" s="21" t="s">
        <v>194</v>
      </c>
      <c r="S88" s="47"/>
      <c r="T88" s="47"/>
      <c r="U88" s="47"/>
      <c r="V88" s="48">
        <f>SUM(V85:V87)</f>
        <v>0.99999999999999989</v>
      </c>
    </row>
    <row r="89" spans="1:22" ht="16.899999999999999" customHeight="1">
      <c r="A89" s="280"/>
      <c r="B89" s="94"/>
      <c r="C89" s="95"/>
      <c r="D89" s="40"/>
      <c r="E89" s="53"/>
      <c r="F89" s="44"/>
      <c r="G89" s="45"/>
      <c r="H89" s="17"/>
      <c r="I89" s="29"/>
      <c r="J89" s="94"/>
      <c r="K89" s="95"/>
      <c r="L89" s="91"/>
      <c r="M89" s="139"/>
      <c r="N89" s="289"/>
      <c r="O89" s="32" t="s">
        <v>219</v>
      </c>
      <c r="P89" s="50" t="s">
        <v>220</v>
      </c>
      <c r="Q89" s="39">
        <v>2.4</v>
      </c>
      <c r="R89" s="21" t="s">
        <v>194</v>
      </c>
      <c r="S89" s="51"/>
      <c r="T89" s="51"/>
      <c r="U89" s="51"/>
      <c r="V89" s="52"/>
    </row>
    <row r="90" spans="1:22" ht="16.2" customHeight="1" thickBot="1">
      <c r="A90" s="281"/>
      <c r="B90" s="282" t="s">
        <v>60</v>
      </c>
      <c r="C90" s="283"/>
      <c r="D90" s="282" t="s">
        <v>195</v>
      </c>
      <c r="E90" s="283"/>
      <c r="F90" s="282" t="s">
        <v>221</v>
      </c>
      <c r="G90" s="283"/>
      <c r="H90" s="282" t="s">
        <v>337</v>
      </c>
      <c r="I90" s="283"/>
      <c r="J90" s="282" t="s">
        <v>222</v>
      </c>
      <c r="K90" s="283"/>
      <c r="L90" s="282" t="s">
        <v>59</v>
      </c>
      <c r="M90" s="283"/>
      <c r="N90" s="290"/>
      <c r="O90" s="61">
        <f>Q90</f>
        <v>841.80190476190478</v>
      </c>
      <c r="P90" s="56" t="s">
        <v>196</v>
      </c>
      <c r="Q90" s="57">
        <f>Q84*68+Q85*73+Q86*24+Q87*60+Q88*112+Q89*45</f>
        <v>841.80190476190478</v>
      </c>
      <c r="R90" s="58" t="s">
        <v>177</v>
      </c>
      <c r="S90" s="59"/>
      <c r="T90" s="59"/>
      <c r="U90" s="59"/>
      <c r="V90" s="60"/>
    </row>
    <row r="91" spans="1:22" ht="14.95" customHeight="1">
      <c r="A91" s="180"/>
      <c r="B91" s="200"/>
      <c r="C91" s="278" t="s">
        <v>366</v>
      </c>
      <c r="D91" s="278"/>
      <c r="E91" s="180"/>
      <c r="F91" s="184"/>
      <c r="G91" s="180" t="s">
        <v>367</v>
      </c>
      <c r="H91" s="180"/>
      <c r="I91" s="180"/>
      <c r="J91" s="204"/>
      <c r="K91" s="278" t="s">
        <v>368</v>
      </c>
      <c r="L91" s="278"/>
      <c r="M91" s="180"/>
      <c r="N91" s="180"/>
      <c r="O91" s="180"/>
    </row>
    <row r="92" spans="1:22" ht="16.2" customHeight="1">
      <c r="A92" s="276" t="s">
        <v>331</v>
      </c>
      <c r="B92" s="276"/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</row>
    <row r="93" spans="1:22" ht="16.2" customHeight="1">
      <c r="A93" s="277" t="s">
        <v>318</v>
      </c>
      <c r="B93" s="277"/>
      <c r="C93" s="277"/>
      <c r="D93" s="277"/>
      <c r="E93" s="277"/>
      <c r="F93" s="277"/>
      <c r="G93" s="277"/>
      <c r="H93" s="277"/>
      <c r="I93" s="277"/>
      <c r="J93" s="277"/>
      <c r="K93" s="277"/>
      <c r="L93" s="277"/>
      <c r="M93" s="277"/>
      <c r="N93" s="277"/>
      <c r="O93" s="277"/>
    </row>
    <row r="94" spans="1:22" ht="16.2" customHeight="1">
      <c r="A94" s="276" t="s">
        <v>315</v>
      </c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191"/>
      <c r="O94" s="183"/>
    </row>
    <row r="95" spans="1:22" ht="16.2" customHeight="1">
      <c r="A95" s="276" t="s">
        <v>316</v>
      </c>
      <c r="B95" s="276"/>
      <c r="C95" s="276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191"/>
      <c r="O95" s="183"/>
    </row>
    <row r="96" spans="1:22" ht="22.75" thickBot="1">
      <c r="A96" s="279" t="s">
        <v>223</v>
      </c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193"/>
      <c r="O96" s="237" t="s">
        <v>633</v>
      </c>
    </row>
    <row r="97" spans="1:22" ht="33.799999999999997" thickBot="1">
      <c r="A97" s="109" t="s">
        <v>224</v>
      </c>
      <c r="B97" s="178" t="s">
        <v>229</v>
      </c>
      <c r="C97" s="2" t="s">
        <v>136</v>
      </c>
      <c r="D97" s="178" t="s">
        <v>225</v>
      </c>
      <c r="E97" s="2" t="s">
        <v>9</v>
      </c>
      <c r="F97" s="178" t="s">
        <v>226</v>
      </c>
      <c r="G97" s="2" t="s">
        <v>227</v>
      </c>
      <c r="H97" s="178" t="s">
        <v>226</v>
      </c>
      <c r="I97" s="2" t="s">
        <v>9</v>
      </c>
      <c r="J97" s="178" t="s">
        <v>226</v>
      </c>
      <c r="K97" s="2" t="s">
        <v>227</v>
      </c>
      <c r="L97" s="178" t="s">
        <v>228</v>
      </c>
      <c r="M97" s="2" t="s">
        <v>9</v>
      </c>
      <c r="N97" s="194" t="s">
        <v>330</v>
      </c>
      <c r="O97" s="194" t="s">
        <v>329</v>
      </c>
      <c r="P97" s="299" t="s">
        <v>230</v>
      </c>
      <c r="Q97" s="300"/>
      <c r="R97" s="300"/>
      <c r="S97" s="300"/>
      <c r="T97" s="300"/>
      <c r="U97" s="300"/>
      <c r="V97" s="301"/>
    </row>
    <row r="98" spans="1:22" s="206" customFormat="1" ht="22.85" customHeight="1" thickBot="1">
      <c r="A98" s="295">
        <f>A83+3</f>
        <v>44151</v>
      </c>
      <c r="B98" s="293" t="s">
        <v>231</v>
      </c>
      <c r="C98" s="294"/>
      <c r="D98" s="296" t="s">
        <v>560</v>
      </c>
      <c r="E98" s="297"/>
      <c r="F98" s="296" t="s">
        <v>622</v>
      </c>
      <c r="G98" s="297"/>
      <c r="H98" s="293" t="s">
        <v>561</v>
      </c>
      <c r="I98" s="294"/>
      <c r="J98" s="293" t="s">
        <v>206</v>
      </c>
      <c r="K98" s="294"/>
      <c r="L98" s="296" t="s">
        <v>99</v>
      </c>
      <c r="M98" s="297"/>
      <c r="N98" s="288"/>
      <c r="O98" s="205" t="s">
        <v>67</v>
      </c>
      <c r="P98" s="304" t="s">
        <v>179</v>
      </c>
      <c r="Q98" s="305"/>
      <c r="R98" s="306"/>
      <c r="S98" s="307" t="s">
        <v>198</v>
      </c>
      <c r="T98" s="308"/>
      <c r="U98" s="308"/>
      <c r="V98" s="309"/>
    </row>
    <row r="99" spans="1:22" ht="16.899999999999999" customHeight="1">
      <c r="A99" s="280"/>
      <c r="B99" s="115" t="s">
        <v>23</v>
      </c>
      <c r="C99" s="14">
        <v>110</v>
      </c>
      <c r="D99" s="10" t="s">
        <v>562</v>
      </c>
      <c r="E99" s="162">
        <v>72</v>
      </c>
      <c r="F99" s="235" t="s">
        <v>623</v>
      </c>
      <c r="G99" s="238">
        <v>25</v>
      </c>
      <c r="H99" s="10" t="s">
        <v>522</v>
      </c>
      <c r="I99" s="161">
        <v>30</v>
      </c>
      <c r="J99" s="15" t="s">
        <v>233</v>
      </c>
      <c r="K99" s="175">
        <v>150</v>
      </c>
      <c r="L99" s="79" t="s">
        <v>234</v>
      </c>
      <c r="M99" s="168">
        <v>20</v>
      </c>
      <c r="N99" s="289"/>
      <c r="O99" s="18">
        <f>T100</f>
        <v>123.4</v>
      </c>
      <c r="P99" s="25" t="s">
        <v>15</v>
      </c>
      <c r="Q99" s="5">
        <f>C99/20+C100/20+G100/90</f>
        <v>7.666666666666667</v>
      </c>
      <c r="R99" s="6" t="s">
        <v>194</v>
      </c>
      <c r="S99" s="7" t="s">
        <v>17</v>
      </c>
      <c r="T99" s="8">
        <f>Q105</f>
        <v>885.19294372294382</v>
      </c>
      <c r="U99" s="6" t="s">
        <v>177</v>
      </c>
      <c r="V99" s="9" t="s">
        <v>168</v>
      </c>
    </row>
    <row r="100" spans="1:22" ht="16.899999999999999" customHeight="1">
      <c r="A100" s="280"/>
      <c r="B100" s="35" t="s">
        <v>154</v>
      </c>
      <c r="C100" s="29">
        <v>40</v>
      </c>
      <c r="D100" s="116"/>
      <c r="E100" s="117"/>
      <c r="F100" s="226" t="s">
        <v>624</v>
      </c>
      <c r="G100" s="227">
        <v>15</v>
      </c>
      <c r="H100" s="30" t="s">
        <v>508</v>
      </c>
      <c r="I100" s="11">
        <v>1</v>
      </c>
      <c r="J100" s="30"/>
      <c r="K100" s="31"/>
      <c r="L100" s="86" t="s">
        <v>236</v>
      </c>
      <c r="M100" s="28">
        <v>10</v>
      </c>
      <c r="N100" s="289"/>
      <c r="O100" s="32" t="s">
        <v>79</v>
      </c>
      <c r="P100" s="19" t="s">
        <v>24</v>
      </c>
      <c r="Q100" s="20">
        <f>E99/40+G99/70+I99/55+M99/80</f>
        <v>2.9525974025974024</v>
      </c>
      <c r="R100" s="21" t="s">
        <v>194</v>
      </c>
      <c r="S100" s="22" t="s">
        <v>80</v>
      </c>
      <c r="T100" s="23">
        <f>Q99*15+Q101*5+Q102*15+Q103*12</f>
        <v>123.4</v>
      </c>
      <c r="U100" s="21" t="s">
        <v>40</v>
      </c>
      <c r="V100" s="24">
        <f>T100*4/T99</f>
        <v>0.55761854350534867</v>
      </c>
    </row>
    <row r="101" spans="1:22" ht="16.899999999999999" customHeight="1">
      <c r="A101" s="280"/>
      <c r="B101" s="17"/>
      <c r="C101" s="29"/>
      <c r="D101" s="146"/>
      <c r="E101" s="117"/>
      <c r="F101" s="229" t="s">
        <v>625</v>
      </c>
      <c r="G101" s="230">
        <v>5</v>
      </c>
      <c r="H101" s="30" t="s">
        <v>564</v>
      </c>
      <c r="I101" s="198" t="s">
        <v>545</v>
      </c>
      <c r="J101" s="37"/>
      <c r="K101" s="11"/>
      <c r="L101" s="87" t="s">
        <v>325</v>
      </c>
      <c r="M101" s="11">
        <v>1</v>
      </c>
      <c r="N101" s="289"/>
      <c r="O101" s="18">
        <f>T101</f>
        <v>26.762987012987011</v>
      </c>
      <c r="P101" s="33" t="s">
        <v>189</v>
      </c>
      <c r="Q101" s="20">
        <f>(M100+M101+M102+K99+I100+G101)/100</f>
        <v>1.68</v>
      </c>
      <c r="R101" s="222" t="s">
        <v>630</v>
      </c>
      <c r="S101" s="22" t="s">
        <v>238</v>
      </c>
      <c r="T101" s="23">
        <f>Q100*5+Q103*4+Q104*5</f>
        <v>26.762987012987011</v>
      </c>
      <c r="U101" s="21" t="s">
        <v>187</v>
      </c>
      <c r="V101" s="24">
        <f>T101*9/T99</f>
        <v>0.27210664615540808</v>
      </c>
    </row>
    <row r="102" spans="1:22" ht="16.899999999999999" customHeight="1">
      <c r="A102" s="280"/>
      <c r="B102" s="44"/>
      <c r="C102" s="45"/>
      <c r="D102" s="35"/>
      <c r="E102" s="29"/>
      <c r="F102" s="226"/>
      <c r="G102" s="230"/>
      <c r="H102" s="30"/>
      <c r="I102" s="11"/>
      <c r="J102" s="37"/>
      <c r="K102" s="11"/>
      <c r="L102" s="86" t="s">
        <v>213</v>
      </c>
      <c r="M102" s="28">
        <v>1</v>
      </c>
      <c r="N102" s="289"/>
      <c r="O102" s="32" t="s">
        <v>192</v>
      </c>
      <c r="P102" s="46" t="s">
        <v>88</v>
      </c>
      <c r="Q102" s="39">
        <v>0</v>
      </c>
      <c r="R102" s="21" t="s">
        <v>194</v>
      </c>
      <c r="S102" s="22" t="s">
        <v>216</v>
      </c>
      <c r="T102" s="23">
        <f>Q99*2+Q100*7+Q101*1+Q103*8</f>
        <v>37.68151515151515</v>
      </c>
      <c r="U102" s="21" t="s">
        <v>187</v>
      </c>
      <c r="V102" s="24">
        <f>T102*4/T99</f>
        <v>0.17027481033924316</v>
      </c>
    </row>
    <row r="103" spans="1:22" ht="16.899999999999999" customHeight="1">
      <c r="A103" s="280" t="s">
        <v>240</v>
      </c>
      <c r="B103" s="37"/>
      <c r="C103" s="29"/>
      <c r="D103" s="17"/>
      <c r="E103" s="29"/>
      <c r="F103" s="234"/>
      <c r="G103" s="236"/>
      <c r="H103" s="30"/>
      <c r="I103" s="11"/>
      <c r="J103" s="37"/>
      <c r="K103" s="11"/>
      <c r="L103" s="91"/>
      <c r="M103" s="92"/>
      <c r="N103" s="289"/>
      <c r="O103" s="18">
        <f>T102</f>
        <v>37.68151515151515</v>
      </c>
      <c r="P103" s="46" t="s">
        <v>47</v>
      </c>
      <c r="Q103" s="39">
        <v>0</v>
      </c>
      <c r="R103" s="21" t="s">
        <v>194</v>
      </c>
      <c r="S103" s="47"/>
      <c r="T103" s="47"/>
      <c r="U103" s="47"/>
      <c r="V103" s="48">
        <f>SUM(V100:V102)</f>
        <v>0.99999999999999989</v>
      </c>
    </row>
    <row r="104" spans="1:22" ht="16.899999999999999" customHeight="1">
      <c r="A104" s="280"/>
      <c r="B104" s="17"/>
      <c r="C104" s="29"/>
      <c r="D104" s="17"/>
      <c r="E104" s="29"/>
      <c r="F104" s="229"/>
      <c r="G104" s="230"/>
      <c r="H104" s="40"/>
      <c r="I104" s="53"/>
      <c r="J104" s="37"/>
      <c r="K104" s="11"/>
      <c r="L104" s="93"/>
      <c r="M104" s="92"/>
      <c r="N104" s="289"/>
      <c r="O104" s="32" t="s">
        <v>219</v>
      </c>
      <c r="P104" s="50" t="s">
        <v>220</v>
      </c>
      <c r="Q104" s="39">
        <v>2.4</v>
      </c>
      <c r="R104" s="21" t="s">
        <v>194</v>
      </c>
      <c r="S104" s="51"/>
      <c r="T104" s="51"/>
      <c r="U104" s="51"/>
      <c r="V104" s="52"/>
    </row>
    <row r="105" spans="1:22" ht="16.899999999999999" customHeight="1" thickBot="1">
      <c r="A105" s="281"/>
      <c r="B105" s="282" t="s">
        <v>130</v>
      </c>
      <c r="C105" s="283"/>
      <c r="D105" s="282" t="s">
        <v>565</v>
      </c>
      <c r="E105" s="283"/>
      <c r="F105" s="284" t="s">
        <v>277</v>
      </c>
      <c r="G105" s="285"/>
      <c r="H105" s="282" t="s">
        <v>566</v>
      </c>
      <c r="I105" s="283"/>
      <c r="J105" s="282" t="s">
        <v>222</v>
      </c>
      <c r="K105" s="283"/>
      <c r="L105" s="282" t="s">
        <v>59</v>
      </c>
      <c r="M105" s="283"/>
      <c r="N105" s="290"/>
      <c r="O105" s="61">
        <f>Q105</f>
        <v>885.19294372294382</v>
      </c>
      <c r="P105" s="56" t="s">
        <v>196</v>
      </c>
      <c r="Q105" s="57">
        <f>Q99*68+Q100*73+Q101*24+Q102*60+Q103*112+Q104*45</f>
        <v>885.19294372294382</v>
      </c>
      <c r="R105" s="58" t="s">
        <v>177</v>
      </c>
      <c r="S105" s="59"/>
      <c r="T105" s="59"/>
      <c r="U105" s="59"/>
      <c r="V105" s="60"/>
    </row>
    <row r="106" spans="1:22" s="206" customFormat="1" ht="22.85" customHeight="1" thickBot="1">
      <c r="A106" s="295">
        <f>A98+1</f>
        <v>44152</v>
      </c>
      <c r="B106" s="293"/>
      <c r="C106" s="294"/>
      <c r="D106" s="296"/>
      <c r="E106" s="297"/>
      <c r="F106" s="293"/>
      <c r="G106" s="294"/>
      <c r="H106" s="293"/>
      <c r="I106" s="294"/>
      <c r="J106" s="293"/>
      <c r="K106" s="294"/>
      <c r="L106" s="296"/>
      <c r="M106" s="297"/>
      <c r="N106" s="291"/>
      <c r="O106" s="205" t="s">
        <v>67</v>
      </c>
      <c r="P106" s="304" t="s">
        <v>68</v>
      </c>
      <c r="Q106" s="305"/>
      <c r="R106" s="306"/>
      <c r="S106" s="307" t="s">
        <v>198</v>
      </c>
      <c r="T106" s="308"/>
      <c r="U106" s="308"/>
      <c r="V106" s="309"/>
    </row>
    <row r="107" spans="1:22" ht="16.899999999999999" customHeight="1">
      <c r="A107" s="280"/>
      <c r="B107" s="17"/>
      <c r="C107" s="14"/>
      <c r="D107" s="96"/>
      <c r="E107" s="189"/>
      <c r="F107" s="12"/>
      <c r="G107" s="163"/>
      <c r="H107" s="10"/>
      <c r="I107" s="161"/>
      <c r="J107" s="62"/>
      <c r="K107" s="175"/>
      <c r="L107" s="79"/>
      <c r="M107" s="168"/>
      <c r="N107" s="289"/>
      <c r="O107" s="18">
        <f>T108</f>
        <v>0</v>
      </c>
      <c r="P107" s="4" t="s">
        <v>15</v>
      </c>
      <c r="Q107" s="5">
        <f>C107/20+C108/20</f>
        <v>0</v>
      </c>
      <c r="R107" s="6" t="s">
        <v>194</v>
      </c>
      <c r="S107" s="65" t="s">
        <v>183</v>
      </c>
      <c r="T107" s="66">
        <f>Q113</f>
        <v>108</v>
      </c>
      <c r="U107" s="67" t="s">
        <v>177</v>
      </c>
      <c r="V107" s="68" t="s">
        <v>232</v>
      </c>
    </row>
    <row r="108" spans="1:22" ht="16.899999999999999" customHeight="1">
      <c r="A108" s="280"/>
      <c r="B108" s="17"/>
      <c r="C108" s="29"/>
      <c r="D108" s="37"/>
      <c r="E108" s="98"/>
      <c r="F108" s="30"/>
      <c r="G108" s="31"/>
      <c r="H108" s="30"/>
      <c r="I108" s="198"/>
      <c r="J108" s="30"/>
      <c r="K108" s="31"/>
      <c r="L108" s="141"/>
      <c r="M108" s="26"/>
      <c r="N108" s="289"/>
      <c r="O108" s="32" t="s">
        <v>185</v>
      </c>
      <c r="P108" s="19" t="s">
        <v>24</v>
      </c>
      <c r="Q108" s="20">
        <f>E107/35+I107/50+M108/40</f>
        <v>0</v>
      </c>
      <c r="R108" s="21" t="s">
        <v>37</v>
      </c>
      <c r="S108" s="22" t="s">
        <v>186</v>
      </c>
      <c r="T108" s="23">
        <f>Q107*15+Q109*5+Q110*15+Q111*12</f>
        <v>0</v>
      </c>
      <c r="U108" s="21" t="s">
        <v>40</v>
      </c>
      <c r="V108" s="24">
        <f>T108*4/T107</f>
        <v>0</v>
      </c>
    </row>
    <row r="109" spans="1:22" ht="16.899999999999999" customHeight="1">
      <c r="A109" s="280"/>
      <c r="B109" s="75"/>
      <c r="C109" s="76"/>
      <c r="D109" s="40"/>
      <c r="E109" s="98"/>
      <c r="F109" s="27"/>
      <c r="G109" s="28"/>
      <c r="H109" s="30"/>
      <c r="I109" s="198"/>
      <c r="J109" s="37"/>
      <c r="K109" s="11"/>
      <c r="L109" s="30"/>
      <c r="M109" s="11"/>
      <c r="N109" s="289"/>
      <c r="O109" s="18">
        <f>T109</f>
        <v>12</v>
      </c>
      <c r="P109" s="33" t="s">
        <v>86</v>
      </c>
      <c r="Q109" s="20">
        <f>(E109+E110+G107+G108+G110+K107+M107+M109+E108+G109)/100</f>
        <v>0</v>
      </c>
      <c r="R109" s="21" t="s">
        <v>194</v>
      </c>
      <c r="S109" s="22" t="s">
        <v>87</v>
      </c>
      <c r="T109" s="23">
        <f>Q108*5+Q111*4+Q112*5</f>
        <v>12</v>
      </c>
      <c r="U109" s="21" t="s">
        <v>187</v>
      </c>
      <c r="V109" s="24">
        <f>T109*9/T107</f>
        <v>1</v>
      </c>
    </row>
    <row r="110" spans="1:22" ht="16.899999999999999" customHeight="1">
      <c r="A110" s="280"/>
      <c r="B110" s="75"/>
      <c r="C110" s="76"/>
      <c r="D110" s="30"/>
      <c r="E110" s="98"/>
      <c r="F110" s="27"/>
      <c r="G110" s="28"/>
      <c r="H110" s="30"/>
      <c r="I110" s="11"/>
      <c r="J110" s="37"/>
      <c r="K110" s="11"/>
      <c r="L110" s="30"/>
      <c r="M110" s="11"/>
      <c r="N110" s="289"/>
      <c r="O110" s="32" t="s">
        <v>192</v>
      </c>
      <c r="P110" s="46" t="s">
        <v>191</v>
      </c>
      <c r="Q110" s="39">
        <v>0</v>
      </c>
      <c r="R110" s="21" t="s">
        <v>37</v>
      </c>
      <c r="S110" s="22" t="s">
        <v>89</v>
      </c>
      <c r="T110" s="23">
        <f>Q107*2+Q108*7+Q109*1+Q111*8</f>
        <v>0</v>
      </c>
      <c r="U110" s="21" t="s">
        <v>187</v>
      </c>
      <c r="V110" s="24">
        <f>T110*4/T107</f>
        <v>0</v>
      </c>
    </row>
    <row r="111" spans="1:22" ht="16.899999999999999" customHeight="1">
      <c r="A111" s="280" t="s">
        <v>90</v>
      </c>
      <c r="B111" s="75"/>
      <c r="C111" s="76"/>
      <c r="D111" s="27"/>
      <c r="E111" s="54"/>
      <c r="F111" s="27"/>
      <c r="G111" s="28"/>
      <c r="H111" s="30"/>
      <c r="I111" s="11"/>
      <c r="J111" s="37"/>
      <c r="K111" s="11"/>
      <c r="L111" s="86"/>
      <c r="M111" s="45"/>
      <c r="N111" s="289"/>
      <c r="O111" s="18">
        <f>T110</f>
        <v>0</v>
      </c>
      <c r="P111" s="46" t="s">
        <v>47</v>
      </c>
      <c r="Q111" s="39">
        <v>0</v>
      </c>
      <c r="R111" s="21" t="s">
        <v>37</v>
      </c>
      <c r="S111" s="47"/>
      <c r="T111" s="47"/>
      <c r="U111" s="47"/>
      <c r="V111" s="48">
        <f>SUM(V108:V110)</f>
        <v>1</v>
      </c>
    </row>
    <row r="112" spans="1:22" ht="16.899999999999999" customHeight="1">
      <c r="A112" s="280"/>
      <c r="B112" s="75"/>
      <c r="C112" s="76"/>
      <c r="D112" s="27"/>
      <c r="E112" s="54"/>
      <c r="F112" s="30"/>
      <c r="G112" s="76"/>
      <c r="H112" s="40"/>
      <c r="I112" s="53"/>
      <c r="J112" s="37"/>
      <c r="K112" s="11"/>
      <c r="L112" s="91"/>
      <c r="M112" s="139"/>
      <c r="N112" s="289"/>
      <c r="O112" s="32" t="s">
        <v>219</v>
      </c>
      <c r="P112" s="50" t="s">
        <v>92</v>
      </c>
      <c r="Q112" s="39">
        <v>2.4</v>
      </c>
      <c r="R112" s="21" t="s">
        <v>194</v>
      </c>
      <c r="S112" s="51"/>
      <c r="T112" s="51"/>
      <c r="U112" s="51"/>
      <c r="V112" s="52"/>
    </row>
    <row r="113" spans="1:22" ht="16.2" customHeight="1" thickBot="1">
      <c r="A113" s="281"/>
      <c r="B113" s="282"/>
      <c r="C113" s="283"/>
      <c r="D113" s="282"/>
      <c r="E113" s="292"/>
      <c r="F113" s="282"/>
      <c r="G113" s="283"/>
      <c r="H113" s="282"/>
      <c r="I113" s="283"/>
      <c r="J113" s="282"/>
      <c r="K113" s="283"/>
      <c r="L113" s="282"/>
      <c r="M113" s="283"/>
      <c r="N113" s="290"/>
      <c r="O113" s="61">
        <f>Q113</f>
        <v>108</v>
      </c>
      <c r="P113" s="56" t="s">
        <v>54</v>
      </c>
      <c r="Q113" s="57">
        <f>Q107*68+Q108*73+Q109*24+Q110*60+Q111*112+Q112*45</f>
        <v>108</v>
      </c>
      <c r="R113" s="58" t="s">
        <v>177</v>
      </c>
      <c r="S113" s="59"/>
      <c r="T113" s="59"/>
      <c r="U113" s="59"/>
      <c r="V113" s="60"/>
    </row>
    <row r="114" spans="1:22" s="206" customFormat="1" ht="22.85" customHeight="1" thickBot="1">
      <c r="A114" s="295">
        <f>A106+1</f>
        <v>44153</v>
      </c>
      <c r="B114" s="293"/>
      <c r="C114" s="294"/>
      <c r="D114" s="296"/>
      <c r="E114" s="297"/>
      <c r="F114" s="293"/>
      <c r="G114" s="294"/>
      <c r="H114" s="293"/>
      <c r="I114" s="294"/>
      <c r="J114" s="293"/>
      <c r="K114" s="294"/>
      <c r="L114" s="296"/>
      <c r="M114" s="297"/>
      <c r="N114" s="288"/>
      <c r="O114" s="205" t="s">
        <v>67</v>
      </c>
      <c r="P114" s="304" t="s">
        <v>68</v>
      </c>
      <c r="Q114" s="305"/>
      <c r="R114" s="306"/>
      <c r="S114" s="307" t="s">
        <v>198</v>
      </c>
      <c r="T114" s="308"/>
      <c r="U114" s="308"/>
      <c r="V114" s="309"/>
    </row>
    <row r="115" spans="1:22" ht="16.899999999999999" customHeight="1">
      <c r="A115" s="280"/>
      <c r="B115" s="81"/>
      <c r="C115" s="82"/>
      <c r="D115" s="77"/>
      <c r="E115" s="162"/>
      <c r="F115" s="63"/>
      <c r="G115" s="165"/>
      <c r="H115" s="12"/>
      <c r="I115" s="163"/>
      <c r="J115" s="78"/>
      <c r="K115" s="175"/>
      <c r="L115" s="97"/>
      <c r="M115" s="163"/>
      <c r="N115" s="289"/>
      <c r="O115" s="18">
        <f>T116</f>
        <v>0</v>
      </c>
      <c r="P115" s="4" t="s">
        <v>15</v>
      </c>
      <c r="Q115" s="5">
        <f>C115/20+G115/85</f>
        <v>0</v>
      </c>
      <c r="R115" s="6" t="s">
        <v>37</v>
      </c>
      <c r="S115" s="65" t="s">
        <v>17</v>
      </c>
      <c r="T115" s="66">
        <f>Q121</f>
        <v>108</v>
      </c>
      <c r="U115" s="67" t="s">
        <v>61</v>
      </c>
      <c r="V115" s="83"/>
    </row>
    <row r="116" spans="1:22" ht="16.899999999999999" customHeight="1">
      <c r="A116" s="280"/>
      <c r="B116" s="75"/>
      <c r="C116" s="76"/>
      <c r="D116" s="35"/>
      <c r="E116" s="36"/>
      <c r="F116" s="220"/>
      <c r="G116" s="36"/>
      <c r="H116" s="35"/>
      <c r="I116" s="29"/>
      <c r="J116" s="87"/>
      <c r="K116" s="74"/>
      <c r="L116" s="87"/>
      <c r="M116" s="11"/>
      <c r="N116" s="289"/>
      <c r="O116" s="32" t="s">
        <v>79</v>
      </c>
      <c r="P116" s="19" t="s">
        <v>24</v>
      </c>
      <c r="Q116" s="20">
        <f>E115/40+G116/50+I116/35+M116/110+G118/50</f>
        <v>0</v>
      </c>
      <c r="R116" s="21" t="s">
        <v>37</v>
      </c>
      <c r="S116" s="22" t="s">
        <v>80</v>
      </c>
      <c r="T116" s="23">
        <f>Q115*15+Q117*5+Q118*15+Q119*12</f>
        <v>0</v>
      </c>
      <c r="U116" s="21" t="s">
        <v>187</v>
      </c>
      <c r="V116" s="24">
        <f>T116*4/T115</f>
        <v>0</v>
      </c>
    </row>
    <row r="117" spans="1:22" ht="16.899999999999999" customHeight="1">
      <c r="A117" s="280"/>
      <c r="B117" s="75"/>
      <c r="C117" s="76"/>
      <c r="D117" s="35"/>
      <c r="E117" s="36"/>
      <c r="F117" s="35"/>
      <c r="G117" s="36"/>
      <c r="H117" s="30"/>
      <c r="I117" s="29"/>
      <c r="J117" s="87"/>
      <c r="K117" s="11"/>
      <c r="L117" s="100"/>
      <c r="M117" s="36"/>
      <c r="N117" s="289"/>
      <c r="O117" s="18">
        <f>T117</f>
        <v>12</v>
      </c>
      <c r="P117" s="33" t="s">
        <v>189</v>
      </c>
      <c r="Q117" s="20">
        <f>(E117+E118+E119+M117+G117+I115+I117+I118+K115+M115+M118)/100</f>
        <v>0</v>
      </c>
      <c r="R117" s="21" t="s">
        <v>194</v>
      </c>
      <c r="S117" s="22" t="s">
        <v>87</v>
      </c>
      <c r="T117" s="23">
        <f>Q116*5+Q119*4+Q120*5</f>
        <v>12</v>
      </c>
      <c r="U117" s="21" t="s">
        <v>187</v>
      </c>
      <c r="V117" s="24">
        <f>T117*9/T115</f>
        <v>1</v>
      </c>
    </row>
    <row r="118" spans="1:22" ht="16.899999999999999" customHeight="1">
      <c r="A118" s="280"/>
      <c r="B118" s="86"/>
      <c r="C118" s="28"/>
      <c r="D118" s="37"/>
      <c r="E118" s="11"/>
      <c r="F118" s="35"/>
      <c r="G118" s="36"/>
      <c r="H118" s="30"/>
      <c r="I118" s="11"/>
      <c r="J118" s="87"/>
      <c r="K118" s="11"/>
      <c r="L118" s="87"/>
      <c r="M118" s="29"/>
      <c r="N118" s="289"/>
      <c r="O118" s="32" t="s">
        <v>46</v>
      </c>
      <c r="P118" s="46" t="s">
        <v>88</v>
      </c>
      <c r="Q118" s="39">
        <v>0</v>
      </c>
      <c r="R118" s="21" t="s">
        <v>37</v>
      </c>
      <c r="S118" s="22" t="s">
        <v>89</v>
      </c>
      <c r="T118" s="23">
        <f>Q115*2+Q116*7+Q117*1+Q119*8</f>
        <v>0</v>
      </c>
      <c r="U118" s="21" t="s">
        <v>40</v>
      </c>
      <c r="V118" s="24">
        <f>T118*4/T115</f>
        <v>0</v>
      </c>
    </row>
    <row r="119" spans="1:22" ht="16.899999999999999" customHeight="1">
      <c r="A119" s="280" t="s">
        <v>109</v>
      </c>
      <c r="B119" s="75"/>
      <c r="C119" s="76"/>
      <c r="D119" s="37"/>
      <c r="E119" s="11"/>
      <c r="G119" s="142"/>
      <c r="H119" s="30"/>
      <c r="I119" s="11"/>
      <c r="J119" s="87"/>
      <c r="K119" s="11"/>
      <c r="L119" s="87"/>
      <c r="M119" s="29"/>
      <c r="N119" s="289"/>
      <c r="O119" s="18">
        <f>T118</f>
        <v>0</v>
      </c>
      <c r="P119" s="46" t="s">
        <v>47</v>
      </c>
      <c r="Q119" s="39">
        <v>0</v>
      </c>
      <c r="R119" s="21" t="s">
        <v>37</v>
      </c>
      <c r="S119" s="47"/>
      <c r="T119" s="47"/>
      <c r="U119" s="47"/>
      <c r="V119" s="48">
        <f>SUM(V116:V118)</f>
        <v>1</v>
      </c>
    </row>
    <row r="120" spans="1:22" ht="16.899999999999999" customHeight="1">
      <c r="A120" s="280"/>
      <c r="B120" s="94"/>
      <c r="C120" s="95"/>
      <c r="D120" s="37"/>
      <c r="E120" s="11"/>
      <c r="F120" s="44"/>
      <c r="G120" s="142"/>
      <c r="H120" s="17"/>
      <c r="I120" s="29"/>
      <c r="J120" s="55"/>
      <c r="K120" s="105"/>
      <c r="L120" s="91"/>
      <c r="M120" s="102"/>
      <c r="N120" s="289"/>
      <c r="O120" s="32" t="s">
        <v>93</v>
      </c>
      <c r="P120" s="50" t="s">
        <v>92</v>
      </c>
      <c r="Q120" s="39">
        <v>2.4</v>
      </c>
      <c r="R120" s="21" t="s">
        <v>194</v>
      </c>
      <c r="S120" s="51"/>
      <c r="T120" s="51"/>
      <c r="U120" s="51"/>
      <c r="V120" s="52"/>
    </row>
    <row r="121" spans="1:22" ht="16.2" customHeight="1" thickBot="1">
      <c r="A121" s="281"/>
      <c r="B121" s="282"/>
      <c r="C121" s="283"/>
      <c r="D121" s="282"/>
      <c r="E121" s="283"/>
      <c r="F121" s="284"/>
      <c r="G121" s="285"/>
      <c r="H121" s="282"/>
      <c r="I121" s="283"/>
      <c r="J121" s="292"/>
      <c r="K121" s="283"/>
      <c r="L121" s="282"/>
      <c r="M121" s="283"/>
      <c r="N121" s="290"/>
      <c r="O121" s="61">
        <f>Q121</f>
        <v>108</v>
      </c>
      <c r="P121" s="56" t="s">
        <v>196</v>
      </c>
      <c r="Q121" s="57">
        <f>Q115*68+Q116*73+Q117*24+Q118*60+Q119*112+Q120*45</f>
        <v>108</v>
      </c>
      <c r="R121" s="58" t="s">
        <v>177</v>
      </c>
      <c r="S121" s="59"/>
      <c r="T121" s="59"/>
      <c r="U121" s="59"/>
      <c r="V121" s="60"/>
    </row>
    <row r="122" spans="1:22" s="206" customFormat="1" ht="22.85" customHeight="1" thickBot="1">
      <c r="A122" s="295">
        <f>A114+1</f>
        <v>44154</v>
      </c>
      <c r="B122" s="314" t="s">
        <v>496</v>
      </c>
      <c r="C122" s="315"/>
      <c r="D122" s="293" t="s">
        <v>567</v>
      </c>
      <c r="E122" s="294"/>
      <c r="F122" s="296" t="s">
        <v>479</v>
      </c>
      <c r="G122" s="297"/>
      <c r="H122" s="293" t="s">
        <v>568</v>
      </c>
      <c r="I122" s="294"/>
      <c r="J122" s="293" t="s">
        <v>12</v>
      </c>
      <c r="K122" s="294"/>
      <c r="L122" s="296" t="s">
        <v>245</v>
      </c>
      <c r="M122" s="297"/>
      <c r="N122" s="288"/>
      <c r="O122" s="205" t="s">
        <v>67</v>
      </c>
      <c r="P122" s="304" t="s">
        <v>68</v>
      </c>
      <c r="Q122" s="305"/>
      <c r="R122" s="306"/>
      <c r="S122" s="307" t="s">
        <v>20</v>
      </c>
      <c r="T122" s="308"/>
      <c r="U122" s="308"/>
      <c r="V122" s="309"/>
    </row>
    <row r="123" spans="1:22" ht="16.899999999999999" customHeight="1">
      <c r="A123" s="280"/>
      <c r="B123" s="169" t="s">
        <v>497</v>
      </c>
      <c r="C123" s="170">
        <v>110</v>
      </c>
      <c r="D123" s="62" t="s">
        <v>569</v>
      </c>
      <c r="E123" s="164">
        <v>70</v>
      </c>
      <c r="F123" s="63" t="s">
        <v>570</v>
      </c>
      <c r="G123" s="165">
        <v>30</v>
      </c>
      <c r="H123" s="12" t="s">
        <v>571</v>
      </c>
      <c r="I123" s="165">
        <v>40</v>
      </c>
      <c r="J123" s="15" t="s">
        <v>21</v>
      </c>
      <c r="K123" s="166">
        <v>70</v>
      </c>
      <c r="L123" s="12" t="s">
        <v>243</v>
      </c>
      <c r="M123" s="163">
        <v>20</v>
      </c>
      <c r="N123" s="289"/>
      <c r="O123" s="18">
        <f>T124</f>
        <v>125.26428571428571</v>
      </c>
      <c r="P123" s="4" t="s">
        <v>15</v>
      </c>
      <c r="Q123" s="5">
        <f>C123/20+C124/20+G123/90+G127/70</f>
        <v>7.8476190476190473</v>
      </c>
      <c r="R123" s="6" t="s">
        <v>37</v>
      </c>
      <c r="S123" s="65" t="s">
        <v>183</v>
      </c>
      <c r="T123" s="66">
        <f>Q129</f>
        <v>903.06153679653676</v>
      </c>
      <c r="U123" s="67" t="s">
        <v>61</v>
      </c>
      <c r="V123" s="68" t="s">
        <v>168</v>
      </c>
    </row>
    <row r="124" spans="1:22" ht="16.899999999999999" customHeight="1">
      <c r="A124" s="280"/>
      <c r="B124" s="185" t="s">
        <v>498</v>
      </c>
      <c r="C124" s="171">
        <v>40</v>
      </c>
      <c r="D124" s="71"/>
      <c r="E124" s="72"/>
      <c r="F124" s="35" t="s">
        <v>484</v>
      </c>
      <c r="G124" s="29">
        <v>15</v>
      </c>
      <c r="H124" s="17" t="s">
        <v>311</v>
      </c>
      <c r="I124" s="29">
        <v>5</v>
      </c>
      <c r="J124" s="93"/>
      <c r="K124" s="92"/>
      <c r="L124" s="30" t="s">
        <v>235</v>
      </c>
      <c r="M124" s="11">
        <v>5</v>
      </c>
      <c r="N124" s="289"/>
      <c r="O124" s="32" t="s">
        <v>79</v>
      </c>
      <c r="P124" s="19" t="s">
        <v>24</v>
      </c>
      <c r="Q124" s="20">
        <f>E123/35+I125/55+M125/40+G124/35</f>
        <v>2.73538961038961</v>
      </c>
      <c r="R124" s="21" t="s">
        <v>37</v>
      </c>
      <c r="S124" s="22" t="s">
        <v>80</v>
      </c>
      <c r="T124" s="23">
        <f>Q123*15+Q125*5+Q126*15+Q127*12</f>
        <v>125.26428571428571</v>
      </c>
      <c r="U124" s="21" t="s">
        <v>40</v>
      </c>
      <c r="V124" s="24">
        <f>T124*4/T123</f>
        <v>0.55484274597117844</v>
      </c>
    </row>
    <row r="125" spans="1:22" ht="16.899999999999999" customHeight="1">
      <c r="A125" s="280"/>
      <c r="B125" s="87"/>
      <c r="C125" s="172"/>
      <c r="D125" s="37"/>
      <c r="E125" s="87"/>
      <c r="F125" s="30" t="s">
        <v>572</v>
      </c>
      <c r="G125" s="29">
        <v>5</v>
      </c>
      <c r="H125" s="37" t="s">
        <v>556</v>
      </c>
      <c r="I125" s="29">
        <v>10</v>
      </c>
      <c r="J125" s="35"/>
      <c r="K125" s="36"/>
      <c r="L125" s="30" t="s">
        <v>242</v>
      </c>
      <c r="M125" s="11">
        <v>5</v>
      </c>
      <c r="N125" s="289"/>
      <c r="O125" s="18">
        <f>T125</f>
        <v>28.510281385281381</v>
      </c>
      <c r="P125" s="33" t="s">
        <v>86</v>
      </c>
      <c r="Q125" s="20">
        <f>(G125+G126+I123+I124+I126+K123+M123+M124)/100</f>
        <v>1.51</v>
      </c>
      <c r="R125" s="21" t="s">
        <v>194</v>
      </c>
      <c r="S125" s="22" t="s">
        <v>87</v>
      </c>
      <c r="T125" s="23">
        <f>Q124*5+Q127*4+Q128*5</f>
        <v>28.510281385281381</v>
      </c>
      <c r="U125" s="21" t="s">
        <v>40</v>
      </c>
      <c r="V125" s="24">
        <f>T125*9/T123</f>
        <v>0.28413626537317987</v>
      </c>
    </row>
    <row r="126" spans="1:22" ht="16.899999999999999" customHeight="1">
      <c r="A126" s="280"/>
      <c r="B126" s="174"/>
      <c r="C126" s="171"/>
      <c r="D126" s="37"/>
      <c r="E126" s="87"/>
      <c r="F126" s="35" t="s">
        <v>485</v>
      </c>
      <c r="G126" s="29">
        <v>5</v>
      </c>
      <c r="H126" s="17" t="s">
        <v>573</v>
      </c>
      <c r="I126" s="29">
        <v>1</v>
      </c>
      <c r="J126" s="44"/>
      <c r="K126" s="45"/>
      <c r="L126" s="93"/>
      <c r="M126" s="101"/>
      <c r="N126" s="289"/>
      <c r="O126" s="32" t="s">
        <v>46</v>
      </c>
      <c r="P126" s="46" t="s">
        <v>88</v>
      </c>
      <c r="Q126" s="39">
        <f>E125/65</f>
        <v>0</v>
      </c>
      <c r="R126" s="21" t="s">
        <v>37</v>
      </c>
      <c r="S126" s="22" t="s">
        <v>89</v>
      </c>
      <c r="T126" s="23">
        <f>Q123*2+Q124*7+Q125*1+Q127*8</f>
        <v>36.352965367965361</v>
      </c>
      <c r="U126" s="21" t="s">
        <v>40</v>
      </c>
      <c r="V126" s="24">
        <f>T126*4/T123</f>
        <v>0.16102098865564163</v>
      </c>
    </row>
    <row r="127" spans="1:22" ht="16.899999999999999" customHeight="1">
      <c r="A127" s="280" t="s">
        <v>119</v>
      </c>
      <c r="B127" s="173"/>
      <c r="C127" s="171"/>
      <c r="D127" s="37"/>
      <c r="E127" s="87"/>
      <c r="F127" s="30" t="s">
        <v>487</v>
      </c>
      <c r="G127" s="31">
        <v>1</v>
      </c>
      <c r="H127" s="35"/>
      <c r="I127" s="29"/>
      <c r="J127" s="27"/>
      <c r="K127" s="125"/>
      <c r="L127" s="143"/>
      <c r="M127" s="76"/>
      <c r="N127" s="289"/>
      <c r="O127" s="18">
        <f>T126</f>
        <v>36.352965367965361</v>
      </c>
      <c r="P127" s="46" t="s">
        <v>47</v>
      </c>
      <c r="Q127" s="39">
        <v>0</v>
      </c>
      <c r="R127" s="21" t="s">
        <v>247</v>
      </c>
      <c r="S127" s="47"/>
      <c r="T127" s="47"/>
      <c r="U127" s="47"/>
      <c r="V127" s="48">
        <f>SUM(V124:V126)</f>
        <v>0.99999999999999989</v>
      </c>
    </row>
    <row r="128" spans="1:22" ht="16.899999999999999" customHeight="1">
      <c r="A128" s="280"/>
      <c r="B128" s="174"/>
      <c r="C128" s="171"/>
      <c r="D128" s="27"/>
      <c r="E128" s="28"/>
      <c r="F128" s="17"/>
      <c r="G128" s="29"/>
      <c r="H128" s="44"/>
      <c r="I128" s="45"/>
      <c r="J128" s="27"/>
      <c r="K128" s="125"/>
      <c r="L128" s="17"/>
      <c r="M128" s="29"/>
      <c r="N128" s="289"/>
      <c r="O128" s="32" t="s">
        <v>219</v>
      </c>
      <c r="P128" s="50" t="s">
        <v>220</v>
      </c>
      <c r="Q128" s="167">
        <f>2.3+I125/15</f>
        <v>2.9666666666666663</v>
      </c>
      <c r="R128" s="21" t="s">
        <v>194</v>
      </c>
      <c r="S128" s="51"/>
      <c r="T128" s="51"/>
      <c r="U128" s="51"/>
      <c r="V128" s="52"/>
    </row>
    <row r="129" spans="1:22" ht="16.2" customHeight="1" thickBot="1">
      <c r="A129" s="281"/>
      <c r="B129" s="286" t="s">
        <v>499</v>
      </c>
      <c r="C129" s="287"/>
      <c r="D129" s="282" t="s">
        <v>488</v>
      </c>
      <c r="E129" s="283"/>
      <c r="F129" s="282" t="s">
        <v>574</v>
      </c>
      <c r="G129" s="283"/>
      <c r="H129" s="282" t="s">
        <v>489</v>
      </c>
      <c r="I129" s="283"/>
      <c r="J129" s="282" t="s">
        <v>58</v>
      </c>
      <c r="K129" s="283"/>
      <c r="L129" s="282" t="s">
        <v>174</v>
      </c>
      <c r="M129" s="283"/>
      <c r="N129" s="290"/>
      <c r="O129" s="61">
        <f>Q129</f>
        <v>903.06153679653676</v>
      </c>
      <c r="P129" s="56" t="s">
        <v>196</v>
      </c>
      <c r="Q129" s="57">
        <f>Q123*68+Q124*73+Q125*24+Q126*60+Q127*112+Q128*45</f>
        <v>903.06153679653676</v>
      </c>
      <c r="R129" s="58" t="s">
        <v>177</v>
      </c>
      <c r="S129" s="59"/>
      <c r="T129" s="59"/>
      <c r="U129" s="59"/>
      <c r="V129" s="60"/>
    </row>
    <row r="130" spans="1:22" s="206" customFormat="1" ht="22.85" customHeight="1" thickBot="1">
      <c r="A130" s="295">
        <f>A122+1</f>
        <v>44155</v>
      </c>
      <c r="B130" s="321" t="s">
        <v>100</v>
      </c>
      <c r="C130" s="321"/>
      <c r="D130" s="296" t="s">
        <v>248</v>
      </c>
      <c r="E130" s="297"/>
      <c r="F130" s="293" t="s">
        <v>249</v>
      </c>
      <c r="G130" s="294"/>
      <c r="H130" s="296" t="s">
        <v>244</v>
      </c>
      <c r="I130" s="297"/>
      <c r="J130" s="293" t="s">
        <v>206</v>
      </c>
      <c r="K130" s="294"/>
      <c r="L130" s="293" t="s">
        <v>250</v>
      </c>
      <c r="M130" s="303"/>
      <c r="N130" s="288"/>
      <c r="O130" s="205" t="s">
        <v>251</v>
      </c>
      <c r="P130" s="304" t="s">
        <v>179</v>
      </c>
      <c r="Q130" s="305"/>
      <c r="R130" s="306"/>
      <c r="S130" s="307" t="s">
        <v>198</v>
      </c>
      <c r="T130" s="308"/>
      <c r="U130" s="308"/>
      <c r="V130" s="309"/>
    </row>
    <row r="131" spans="1:22" ht="16.899999999999999" customHeight="1">
      <c r="A131" s="280"/>
      <c r="B131" s="81" t="s">
        <v>74</v>
      </c>
      <c r="C131" s="82">
        <v>140</v>
      </c>
      <c r="D131" s="77" t="s">
        <v>242</v>
      </c>
      <c r="E131" s="162">
        <v>70</v>
      </c>
      <c r="F131" s="12" t="s">
        <v>328</v>
      </c>
      <c r="G131" s="163">
        <v>20</v>
      </c>
      <c r="H131" s="77" t="s">
        <v>152</v>
      </c>
      <c r="I131" s="165">
        <v>25</v>
      </c>
      <c r="J131" s="240" t="s">
        <v>666</v>
      </c>
      <c r="K131" s="175">
        <v>100</v>
      </c>
      <c r="L131" s="79" t="s">
        <v>252</v>
      </c>
      <c r="M131" s="168">
        <v>20</v>
      </c>
      <c r="N131" s="289"/>
      <c r="O131" s="18">
        <f>T132</f>
        <v>124.36043956043956</v>
      </c>
      <c r="P131" s="4" t="s">
        <v>15</v>
      </c>
      <c r="Q131" s="39">
        <f>C131/20+I132/15+G135/70</f>
        <v>7.6809523809523812</v>
      </c>
      <c r="R131" s="6" t="s">
        <v>194</v>
      </c>
      <c r="S131" s="65" t="s">
        <v>17</v>
      </c>
      <c r="T131" s="66">
        <f>Q137</f>
        <v>874.67937728937727</v>
      </c>
      <c r="U131" s="67" t="s">
        <v>132</v>
      </c>
      <c r="V131" s="83"/>
    </row>
    <row r="132" spans="1:22" ht="16.899999999999999" customHeight="1">
      <c r="A132" s="280"/>
      <c r="B132" s="75"/>
      <c r="C132" s="76"/>
      <c r="D132" s="27" t="s">
        <v>41</v>
      </c>
      <c r="E132" s="36">
        <v>3</v>
      </c>
      <c r="F132" s="100" t="s">
        <v>253</v>
      </c>
      <c r="G132" s="29">
        <v>10</v>
      </c>
      <c r="H132" s="35" t="s">
        <v>305</v>
      </c>
      <c r="I132" s="29">
        <v>10</v>
      </c>
      <c r="J132" s="35"/>
      <c r="K132" s="29"/>
      <c r="L132" s="49" t="s">
        <v>254</v>
      </c>
      <c r="M132" s="36">
        <v>1</v>
      </c>
      <c r="N132" s="289"/>
      <c r="O132" s="32" t="s">
        <v>185</v>
      </c>
      <c r="P132" s="19" t="s">
        <v>24</v>
      </c>
      <c r="Q132" s="20">
        <f>E131/40+G131/35+I134/35+M133/35+G133/35</f>
        <v>2.7499999999999996</v>
      </c>
      <c r="R132" s="21" t="s">
        <v>194</v>
      </c>
      <c r="S132" s="22" t="s">
        <v>186</v>
      </c>
      <c r="T132" s="23">
        <f>Q131*15+Q133*5+Q134*15+Q135*12</f>
        <v>124.36043956043956</v>
      </c>
      <c r="U132" s="21" t="s">
        <v>40</v>
      </c>
      <c r="V132" s="24">
        <f>T132*4/T131</f>
        <v>0.56871325786064064</v>
      </c>
    </row>
    <row r="133" spans="1:22" ht="16.899999999999999" customHeight="1">
      <c r="A133" s="280"/>
      <c r="B133" s="75"/>
      <c r="C133" s="76"/>
      <c r="D133" s="27" t="s">
        <v>255</v>
      </c>
      <c r="E133" s="36">
        <v>3</v>
      </c>
      <c r="F133" s="30" t="s">
        <v>256</v>
      </c>
      <c r="G133" s="29">
        <v>5</v>
      </c>
      <c r="H133" s="35" t="s">
        <v>311</v>
      </c>
      <c r="I133" s="29">
        <v>5</v>
      </c>
      <c r="J133" s="35"/>
      <c r="K133" s="29"/>
      <c r="L133" s="49" t="s">
        <v>257</v>
      </c>
      <c r="M133" s="36">
        <v>5</v>
      </c>
      <c r="N133" s="289"/>
      <c r="O133" s="18">
        <f>T133</f>
        <v>25.75</v>
      </c>
      <c r="P133" s="33" t="s">
        <v>189</v>
      </c>
      <c r="Q133" s="20">
        <f>(E132+E134+G132+G134+I131+I133+I135+I136+K131+M131+M132)/100</f>
        <v>1.76</v>
      </c>
      <c r="R133" s="21" t="s">
        <v>37</v>
      </c>
      <c r="S133" s="22" t="s">
        <v>238</v>
      </c>
      <c r="T133" s="23">
        <f>Q132*5+Q135*4+Q136*5</f>
        <v>25.75</v>
      </c>
      <c r="U133" s="21" t="s">
        <v>187</v>
      </c>
      <c r="V133" s="24">
        <f>T133*9/T131</f>
        <v>0.26495422896352144</v>
      </c>
    </row>
    <row r="134" spans="1:22" ht="16.899999999999999" customHeight="1">
      <c r="A134" s="280"/>
      <c r="B134" s="86"/>
      <c r="C134" s="28"/>
      <c r="D134" s="27" t="s">
        <v>237</v>
      </c>
      <c r="E134" s="28">
        <v>3</v>
      </c>
      <c r="F134" s="100" t="s">
        <v>311</v>
      </c>
      <c r="G134" s="11">
        <v>5</v>
      </c>
      <c r="H134" s="30" t="s">
        <v>85</v>
      </c>
      <c r="I134" s="29">
        <v>5</v>
      </c>
      <c r="J134" s="17"/>
      <c r="K134" s="29"/>
      <c r="L134" s="73"/>
      <c r="M134" s="74"/>
      <c r="N134" s="289"/>
      <c r="O134" s="32" t="s">
        <v>46</v>
      </c>
      <c r="P134" s="46" t="s">
        <v>88</v>
      </c>
      <c r="Q134" s="39">
        <f>E133/130</f>
        <v>2.3076923076923078E-2</v>
      </c>
      <c r="R134" s="21" t="s">
        <v>194</v>
      </c>
      <c r="S134" s="22" t="s">
        <v>258</v>
      </c>
      <c r="T134" s="23">
        <f>Q131*2+Q132*7+Q133*1+Q135*8</f>
        <v>36.371904761904759</v>
      </c>
      <c r="U134" s="21" t="s">
        <v>187</v>
      </c>
      <c r="V134" s="24">
        <f>T134*4/T131</f>
        <v>0.16633251317583789</v>
      </c>
    </row>
    <row r="135" spans="1:22" ht="16.899999999999999" customHeight="1">
      <c r="A135" s="280" t="s">
        <v>217</v>
      </c>
      <c r="B135" s="75"/>
      <c r="C135" s="76"/>
      <c r="D135" s="27"/>
      <c r="E135" s="28"/>
      <c r="F135" s="30" t="s">
        <v>56</v>
      </c>
      <c r="G135" s="11">
        <v>1</v>
      </c>
      <c r="H135" s="37" t="s">
        <v>82</v>
      </c>
      <c r="I135" s="29">
        <v>3</v>
      </c>
      <c r="J135" s="17"/>
      <c r="K135" s="29"/>
      <c r="L135" s="93"/>
      <c r="M135" s="92"/>
      <c r="N135" s="289"/>
      <c r="O135" s="18">
        <f>T134</f>
        <v>36.371904761904759</v>
      </c>
      <c r="P135" s="46" t="s">
        <v>47</v>
      </c>
      <c r="Q135" s="39">
        <v>0</v>
      </c>
      <c r="R135" s="21" t="s">
        <v>37</v>
      </c>
      <c r="S135" s="47"/>
      <c r="T135" s="47"/>
      <c r="U135" s="47"/>
      <c r="V135" s="48">
        <f>SUM(V132:V134)</f>
        <v>0.99999999999999989</v>
      </c>
    </row>
    <row r="136" spans="1:22" ht="16.899999999999999" customHeight="1">
      <c r="A136" s="280"/>
      <c r="B136" s="94"/>
      <c r="C136" s="95"/>
      <c r="D136" s="27"/>
      <c r="E136" s="28"/>
      <c r="F136" s="44"/>
      <c r="G136" s="45"/>
      <c r="H136" s="37" t="s">
        <v>83</v>
      </c>
      <c r="I136" s="144">
        <v>1</v>
      </c>
      <c r="J136" s="94"/>
      <c r="K136" s="95"/>
      <c r="L136" s="93"/>
      <c r="M136" s="92"/>
      <c r="N136" s="289"/>
      <c r="O136" s="32" t="s">
        <v>219</v>
      </c>
      <c r="P136" s="50" t="s">
        <v>220</v>
      </c>
      <c r="Q136" s="39">
        <v>2.4</v>
      </c>
      <c r="R136" s="21" t="s">
        <v>194</v>
      </c>
      <c r="S136" s="51"/>
      <c r="T136" s="51"/>
      <c r="U136" s="51"/>
      <c r="V136" s="52"/>
    </row>
    <row r="137" spans="1:22" ht="16.2" customHeight="1" thickBot="1">
      <c r="A137" s="281"/>
      <c r="B137" s="282" t="s">
        <v>60</v>
      </c>
      <c r="C137" s="283"/>
      <c r="D137" s="282" t="s">
        <v>338</v>
      </c>
      <c r="E137" s="283"/>
      <c r="F137" s="292" t="s">
        <v>339</v>
      </c>
      <c r="G137" s="283"/>
      <c r="H137" s="282" t="s">
        <v>95</v>
      </c>
      <c r="I137" s="283"/>
      <c r="J137" s="282" t="s">
        <v>222</v>
      </c>
      <c r="K137" s="283"/>
      <c r="L137" s="282" t="s">
        <v>174</v>
      </c>
      <c r="M137" s="283"/>
      <c r="N137" s="290"/>
      <c r="O137" s="61">
        <f>Q137</f>
        <v>874.67937728937727</v>
      </c>
      <c r="P137" s="56" t="s">
        <v>54</v>
      </c>
      <c r="Q137" s="57">
        <f>Q131*68+Q132*73+Q133*24+Q134*60+Q135*112+Q136*45</f>
        <v>874.67937728937727</v>
      </c>
      <c r="R137" s="58" t="s">
        <v>177</v>
      </c>
      <c r="S137" s="59"/>
      <c r="T137" s="59"/>
      <c r="U137" s="59"/>
      <c r="V137" s="60"/>
    </row>
    <row r="138" spans="1:22" ht="16.2" customHeight="1">
      <c r="A138" s="180"/>
      <c r="B138" s="200"/>
      <c r="C138" s="278" t="s">
        <v>366</v>
      </c>
      <c r="D138" s="278"/>
      <c r="E138" s="180"/>
      <c r="F138" s="184"/>
      <c r="G138" s="180" t="s">
        <v>367</v>
      </c>
      <c r="H138" s="180"/>
      <c r="I138" s="180"/>
      <c r="J138" s="204"/>
      <c r="K138" s="278" t="s">
        <v>368</v>
      </c>
      <c r="L138" s="278"/>
      <c r="M138" s="180"/>
      <c r="N138" s="180"/>
      <c r="O138" s="180"/>
    </row>
    <row r="139" spans="1:22" ht="16.2" customHeight="1">
      <c r="A139" s="276" t="s">
        <v>317</v>
      </c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</row>
    <row r="140" spans="1:22" ht="16.2" customHeight="1">
      <c r="A140" s="277" t="s">
        <v>318</v>
      </c>
      <c r="B140" s="277"/>
      <c r="C140" s="277"/>
      <c r="D140" s="277"/>
      <c r="E140" s="277"/>
      <c r="F140" s="277"/>
      <c r="G140" s="277"/>
      <c r="H140" s="277"/>
      <c r="I140" s="277"/>
      <c r="J140" s="277"/>
      <c r="K140" s="277"/>
      <c r="L140" s="277"/>
      <c r="M140" s="277"/>
      <c r="N140" s="277"/>
      <c r="O140" s="277"/>
    </row>
    <row r="141" spans="1:22" ht="16.2" customHeight="1">
      <c r="A141" s="276" t="s">
        <v>315</v>
      </c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191"/>
      <c r="O141" s="183"/>
    </row>
    <row r="142" spans="1:22" ht="16.2" customHeight="1">
      <c r="A142" s="276" t="s">
        <v>316</v>
      </c>
      <c r="B142" s="276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191"/>
      <c r="O142" s="183"/>
    </row>
    <row r="143" spans="1:22" ht="22.75" thickBot="1">
      <c r="A143" s="279" t="s">
        <v>259</v>
      </c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193"/>
      <c r="O143" s="237" t="s">
        <v>633</v>
      </c>
    </row>
    <row r="144" spans="1:22" ht="33.799999999999997" thickBot="1">
      <c r="A144" s="109" t="s">
        <v>260</v>
      </c>
      <c r="B144" s="178" t="s">
        <v>229</v>
      </c>
      <c r="C144" s="2" t="s">
        <v>136</v>
      </c>
      <c r="D144" s="178" t="s">
        <v>261</v>
      </c>
      <c r="E144" s="2" t="s">
        <v>9</v>
      </c>
      <c r="F144" s="178" t="s">
        <v>262</v>
      </c>
      <c r="G144" s="2" t="s">
        <v>227</v>
      </c>
      <c r="H144" s="178" t="s">
        <v>262</v>
      </c>
      <c r="I144" s="2" t="s">
        <v>227</v>
      </c>
      <c r="J144" s="178" t="s">
        <v>262</v>
      </c>
      <c r="K144" s="2" t="s">
        <v>227</v>
      </c>
      <c r="L144" s="178" t="s">
        <v>228</v>
      </c>
      <c r="M144" s="2" t="s">
        <v>9</v>
      </c>
      <c r="N144" s="194" t="s">
        <v>330</v>
      </c>
      <c r="O144" s="194" t="s">
        <v>329</v>
      </c>
      <c r="P144" s="299" t="s">
        <v>230</v>
      </c>
      <c r="Q144" s="300"/>
      <c r="R144" s="300"/>
      <c r="S144" s="300"/>
      <c r="T144" s="300"/>
      <c r="U144" s="300"/>
      <c r="V144" s="301"/>
    </row>
    <row r="145" spans="1:22" s="206" customFormat="1" ht="22.85" customHeight="1" thickBot="1">
      <c r="A145" s="295">
        <f>A130+3</f>
        <v>44158</v>
      </c>
      <c r="B145" s="293" t="s">
        <v>231</v>
      </c>
      <c r="C145" s="294"/>
      <c r="D145" s="322" t="s">
        <v>575</v>
      </c>
      <c r="E145" s="323"/>
      <c r="F145" s="296" t="s">
        <v>576</v>
      </c>
      <c r="G145" s="297"/>
      <c r="H145" s="293" t="s">
        <v>577</v>
      </c>
      <c r="I145" s="294"/>
      <c r="J145" s="293" t="s">
        <v>12</v>
      </c>
      <c r="K145" s="294"/>
      <c r="L145" s="293" t="s">
        <v>347</v>
      </c>
      <c r="M145" s="294"/>
      <c r="N145" s="288"/>
      <c r="O145" s="205" t="s">
        <v>251</v>
      </c>
      <c r="P145" s="304" t="s">
        <v>68</v>
      </c>
      <c r="Q145" s="305"/>
      <c r="R145" s="306"/>
      <c r="S145" s="307" t="s">
        <v>198</v>
      </c>
      <c r="T145" s="308"/>
      <c r="U145" s="308"/>
      <c r="V145" s="309"/>
    </row>
    <row r="146" spans="1:22" ht="16.899999999999999" customHeight="1">
      <c r="A146" s="280"/>
      <c r="B146" s="115" t="s">
        <v>23</v>
      </c>
      <c r="C146" s="14">
        <v>110</v>
      </c>
      <c r="D146" s="12" t="s">
        <v>521</v>
      </c>
      <c r="E146" s="163">
        <v>50</v>
      </c>
      <c r="F146" s="10" t="s">
        <v>578</v>
      </c>
      <c r="G146" s="161">
        <v>25</v>
      </c>
      <c r="H146" s="140" t="s">
        <v>579</v>
      </c>
      <c r="I146" s="161">
        <v>30</v>
      </c>
      <c r="J146" s="15" t="s">
        <v>104</v>
      </c>
      <c r="K146" s="175">
        <v>70</v>
      </c>
      <c r="L146" s="12" t="s">
        <v>304</v>
      </c>
      <c r="M146" s="163">
        <v>20</v>
      </c>
      <c r="N146" s="289"/>
      <c r="O146" s="18">
        <f>T147</f>
        <v>122.46470588235293</v>
      </c>
      <c r="P146" s="25" t="s">
        <v>15</v>
      </c>
      <c r="Q146" s="5">
        <f>C146/20+C147/20+G147/85</f>
        <v>7.617647058823529</v>
      </c>
      <c r="R146" s="6" t="s">
        <v>194</v>
      </c>
      <c r="S146" s="7" t="s">
        <v>17</v>
      </c>
      <c r="T146" s="8">
        <f>Q152</f>
        <v>881.57509740259741</v>
      </c>
      <c r="U146" s="6" t="s">
        <v>177</v>
      </c>
      <c r="V146" s="9" t="s">
        <v>168</v>
      </c>
    </row>
    <row r="147" spans="1:22" ht="16.899999999999999" customHeight="1">
      <c r="A147" s="280"/>
      <c r="B147" s="35" t="s">
        <v>154</v>
      </c>
      <c r="C147" s="29">
        <v>40</v>
      </c>
      <c r="D147" s="221" t="s">
        <v>580</v>
      </c>
      <c r="E147" s="11">
        <v>30</v>
      </c>
      <c r="F147" s="145" t="s">
        <v>581</v>
      </c>
      <c r="G147" s="11">
        <v>10</v>
      </c>
      <c r="H147" s="49" t="s">
        <v>582</v>
      </c>
      <c r="I147" s="31">
        <v>15</v>
      </c>
      <c r="J147" s="30"/>
      <c r="K147" s="31"/>
      <c r="L147" s="30" t="s">
        <v>343</v>
      </c>
      <c r="M147" s="11">
        <v>10</v>
      </c>
      <c r="N147" s="289"/>
      <c r="O147" s="32" t="s">
        <v>185</v>
      </c>
      <c r="P147" s="19" t="s">
        <v>24</v>
      </c>
      <c r="Q147" s="20">
        <f>E146/35+E147/35+G146/80+M146/55</f>
        <v>2.9618506493506493</v>
      </c>
      <c r="R147" s="21" t="s">
        <v>37</v>
      </c>
      <c r="S147" s="22" t="s">
        <v>80</v>
      </c>
      <c r="T147" s="23">
        <f>Q146*15+Q148*5+Q149*15+Q150*12</f>
        <v>122.46470588235293</v>
      </c>
      <c r="U147" s="21" t="s">
        <v>187</v>
      </c>
      <c r="V147" s="24">
        <f>T147*4/T146</f>
        <v>0.55566318169908913</v>
      </c>
    </row>
    <row r="148" spans="1:22" ht="16.899999999999999" customHeight="1">
      <c r="A148" s="280"/>
      <c r="B148" s="17"/>
      <c r="C148" s="29"/>
      <c r="D148" s="221" t="s">
        <v>523</v>
      </c>
      <c r="E148" s="11">
        <v>10</v>
      </c>
      <c r="F148" s="30" t="s">
        <v>583</v>
      </c>
      <c r="G148" s="11">
        <v>10</v>
      </c>
      <c r="H148" s="27" t="s">
        <v>529</v>
      </c>
      <c r="I148" s="28">
        <v>3</v>
      </c>
      <c r="J148" s="37"/>
      <c r="K148" s="11"/>
      <c r="L148" s="30" t="s">
        <v>344</v>
      </c>
      <c r="M148" s="11">
        <v>1</v>
      </c>
      <c r="N148" s="289"/>
      <c r="O148" s="18">
        <f>T148</f>
        <v>26.809253246753247</v>
      </c>
      <c r="P148" s="33" t="s">
        <v>86</v>
      </c>
      <c r="Q148" s="20">
        <f>(E148+E149+G148+G149+G150+I146+I147+I148+I149+K146+M147+M148+M149)/100</f>
        <v>1.64</v>
      </c>
      <c r="R148" s="21" t="s">
        <v>194</v>
      </c>
      <c r="S148" s="22" t="s">
        <v>238</v>
      </c>
      <c r="T148" s="23">
        <f>Q147*5+Q150*4+Q151*5</f>
        <v>26.809253246753247</v>
      </c>
      <c r="U148" s="21" t="s">
        <v>40</v>
      </c>
      <c r="V148" s="24">
        <f>T148*9/T146</f>
        <v>0.27369566124505679</v>
      </c>
    </row>
    <row r="149" spans="1:22" ht="16.899999999999999" customHeight="1">
      <c r="A149" s="280"/>
      <c r="B149" s="44"/>
      <c r="C149" s="45"/>
      <c r="D149" s="30" t="s">
        <v>524</v>
      </c>
      <c r="E149" s="11">
        <v>3</v>
      </c>
      <c r="F149" s="27" t="s">
        <v>584</v>
      </c>
      <c r="G149" s="28">
        <v>5</v>
      </c>
      <c r="H149" s="30" t="s">
        <v>585</v>
      </c>
      <c r="I149" s="76">
        <v>3</v>
      </c>
      <c r="J149" s="37"/>
      <c r="K149" s="11"/>
      <c r="L149" s="30" t="s">
        <v>342</v>
      </c>
      <c r="M149" s="11">
        <v>1</v>
      </c>
      <c r="N149" s="289"/>
      <c r="O149" s="32" t="s">
        <v>192</v>
      </c>
      <c r="P149" s="46" t="s">
        <v>88</v>
      </c>
      <c r="Q149" s="39">
        <v>0</v>
      </c>
      <c r="R149" s="21" t="s">
        <v>194</v>
      </c>
      <c r="S149" s="22" t="s">
        <v>216</v>
      </c>
      <c r="T149" s="23">
        <f>Q146*2+Q147*7+Q148*1+Q150*8</f>
        <v>37.608248663101605</v>
      </c>
      <c r="U149" s="21" t="s">
        <v>40</v>
      </c>
      <c r="V149" s="24">
        <f>T149*4/T146</f>
        <v>0.170641157055854</v>
      </c>
    </row>
    <row r="150" spans="1:22" ht="16.899999999999999" customHeight="1">
      <c r="A150" s="280" t="s">
        <v>52</v>
      </c>
      <c r="B150" s="37"/>
      <c r="C150" s="29"/>
      <c r="D150" s="30" t="s">
        <v>586</v>
      </c>
      <c r="E150" s="198" t="s">
        <v>587</v>
      </c>
      <c r="F150" s="27" t="s">
        <v>524</v>
      </c>
      <c r="G150" s="28">
        <v>3</v>
      </c>
      <c r="H150" s="30"/>
      <c r="I150" s="76"/>
      <c r="J150" s="37"/>
      <c r="K150" s="11"/>
      <c r="L150" s="37"/>
      <c r="M150" s="29"/>
      <c r="N150" s="289"/>
      <c r="O150" s="18">
        <f>T149</f>
        <v>37.608248663101605</v>
      </c>
      <c r="P150" s="46" t="s">
        <v>47</v>
      </c>
      <c r="Q150" s="39">
        <v>0</v>
      </c>
      <c r="R150" s="21" t="s">
        <v>37</v>
      </c>
      <c r="S150" s="47"/>
      <c r="T150" s="47"/>
      <c r="U150" s="47"/>
      <c r="V150" s="48">
        <f>SUM(V147:V149)</f>
        <v>0.99999999999999989</v>
      </c>
    </row>
    <row r="151" spans="1:22" ht="16.899999999999999" customHeight="1">
      <c r="A151" s="280"/>
      <c r="B151" s="17"/>
      <c r="C151" s="29"/>
      <c r="D151" s="35"/>
      <c r="E151" s="36"/>
      <c r="F151" s="27"/>
      <c r="G151" s="28"/>
      <c r="H151" s="30"/>
      <c r="I151" s="76"/>
      <c r="J151" s="37"/>
      <c r="K151" s="11"/>
      <c r="L151" s="37"/>
      <c r="M151" s="11"/>
      <c r="N151" s="289"/>
      <c r="O151" s="32" t="s">
        <v>219</v>
      </c>
      <c r="P151" s="50" t="s">
        <v>220</v>
      </c>
      <c r="Q151" s="39">
        <v>2.4</v>
      </c>
      <c r="R151" s="21" t="s">
        <v>37</v>
      </c>
      <c r="S151" s="51"/>
      <c r="T151" s="51"/>
      <c r="U151" s="51"/>
      <c r="V151" s="52"/>
    </row>
    <row r="152" spans="1:22" ht="16.2" customHeight="1" thickBot="1">
      <c r="A152" s="281"/>
      <c r="B152" s="282" t="s">
        <v>60</v>
      </c>
      <c r="C152" s="283"/>
      <c r="D152" s="282" t="s">
        <v>531</v>
      </c>
      <c r="E152" s="283"/>
      <c r="F152" s="282" t="s">
        <v>588</v>
      </c>
      <c r="G152" s="283"/>
      <c r="H152" s="282" t="s">
        <v>532</v>
      </c>
      <c r="I152" s="283"/>
      <c r="J152" s="282" t="s">
        <v>58</v>
      </c>
      <c r="K152" s="283"/>
      <c r="L152" s="282" t="s">
        <v>174</v>
      </c>
      <c r="M152" s="283"/>
      <c r="N152" s="290"/>
      <c r="O152" s="61">
        <f>Q152</f>
        <v>881.57509740259741</v>
      </c>
      <c r="P152" s="56" t="s">
        <v>54</v>
      </c>
      <c r="Q152" s="57">
        <f>Q146*68+Q147*73+Q148*24+Q149*60+Q150*112+Q151*45</f>
        <v>881.57509740259741</v>
      </c>
      <c r="R152" s="58" t="s">
        <v>61</v>
      </c>
      <c r="S152" s="59"/>
      <c r="T152" s="59"/>
      <c r="U152" s="59"/>
      <c r="V152" s="60"/>
    </row>
    <row r="153" spans="1:22" s="206" customFormat="1" ht="22.85" customHeight="1" thickBot="1">
      <c r="A153" s="295">
        <f>A145+1</f>
        <v>44159</v>
      </c>
      <c r="B153" s="293" t="s">
        <v>267</v>
      </c>
      <c r="C153" s="294"/>
      <c r="D153" s="293" t="s">
        <v>263</v>
      </c>
      <c r="E153" s="294"/>
      <c r="F153" s="296" t="s">
        <v>264</v>
      </c>
      <c r="G153" s="297"/>
      <c r="H153" s="296" t="s">
        <v>265</v>
      </c>
      <c r="I153" s="297"/>
      <c r="J153" s="293" t="s">
        <v>12</v>
      </c>
      <c r="K153" s="294"/>
      <c r="L153" s="293" t="s">
        <v>266</v>
      </c>
      <c r="M153" s="294"/>
      <c r="N153" s="291"/>
      <c r="O153" s="205" t="s">
        <v>67</v>
      </c>
      <c r="P153" s="304" t="s">
        <v>68</v>
      </c>
      <c r="Q153" s="305"/>
      <c r="R153" s="306"/>
      <c r="S153" s="307" t="s">
        <v>20</v>
      </c>
      <c r="T153" s="308"/>
      <c r="U153" s="308"/>
      <c r="V153" s="309"/>
    </row>
    <row r="154" spans="1:22" ht="16.899999999999999" customHeight="1">
      <c r="A154" s="280"/>
      <c r="B154" s="17" t="s">
        <v>23</v>
      </c>
      <c r="C154" s="14">
        <v>110</v>
      </c>
      <c r="D154" s="10" t="s">
        <v>268</v>
      </c>
      <c r="E154" s="162">
        <v>90</v>
      </c>
      <c r="F154" s="63" t="s">
        <v>202</v>
      </c>
      <c r="G154" s="165">
        <v>20</v>
      </c>
      <c r="H154" s="77" t="s">
        <v>269</v>
      </c>
      <c r="I154" s="165">
        <v>40</v>
      </c>
      <c r="J154" s="241" t="s">
        <v>666</v>
      </c>
      <c r="K154" s="175">
        <v>70</v>
      </c>
      <c r="L154" s="12" t="s">
        <v>270</v>
      </c>
      <c r="M154" s="163">
        <v>25</v>
      </c>
      <c r="N154" s="289"/>
      <c r="O154" s="18">
        <f>T155</f>
        <v>120.6</v>
      </c>
      <c r="P154" s="4" t="s">
        <v>15</v>
      </c>
      <c r="Q154" s="5">
        <f>C154/20+C155/20</f>
        <v>7.5</v>
      </c>
      <c r="R154" s="6" t="s">
        <v>37</v>
      </c>
      <c r="S154" s="65" t="s">
        <v>17</v>
      </c>
      <c r="T154" s="66">
        <f>Q160</f>
        <v>868.53259740259739</v>
      </c>
      <c r="U154" s="67" t="s">
        <v>61</v>
      </c>
      <c r="V154" s="68" t="s">
        <v>168</v>
      </c>
    </row>
    <row r="155" spans="1:22" ht="16.899999999999999" customHeight="1">
      <c r="A155" s="280"/>
      <c r="B155" s="17" t="s">
        <v>78</v>
      </c>
      <c r="C155" s="29">
        <v>40</v>
      </c>
      <c r="D155" s="17" t="s">
        <v>340</v>
      </c>
      <c r="E155" s="197" t="s">
        <v>341</v>
      </c>
      <c r="F155" s="146" t="s">
        <v>51</v>
      </c>
      <c r="G155" s="31">
        <v>15</v>
      </c>
      <c r="H155" s="35" t="s">
        <v>271</v>
      </c>
      <c r="I155" s="29">
        <v>5</v>
      </c>
      <c r="J155" s="30"/>
      <c r="K155" s="31"/>
      <c r="L155" s="17" t="s">
        <v>123</v>
      </c>
      <c r="M155" s="29">
        <v>5</v>
      </c>
      <c r="N155" s="289"/>
      <c r="O155" s="32" t="s">
        <v>79</v>
      </c>
      <c r="P155" s="19" t="s">
        <v>24</v>
      </c>
      <c r="Q155" s="20">
        <f>E154/40+G154/55+I155/35+M155/35</f>
        <v>2.8993506493506493</v>
      </c>
      <c r="R155" s="21" t="s">
        <v>37</v>
      </c>
      <c r="S155" s="22" t="s">
        <v>80</v>
      </c>
      <c r="T155" s="23">
        <f>Q154*15+Q156*5+Q157*15+Q158*12</f>
        <v>120.6</v>
      </c>
      <c r="U155" s="21" t="s">
        <v>40</v>
      </c>
      <c r="V155" s="24">
        <f>T155*4/T154</f>
        <v>0.55541956795018199</v>
      </c>
    </row>
    <row r="156" spans="1:22" ht="16.899999999999999" customHeight="1">
      <c r="A156" s="280"/>
      <c r="B156" s="75"/>
      <c r="C156" s="76"/>
      <c r="D156" s="35"/>
      <c r="E156" s="36"/>
      <c r="F156" s="116" t="s">
        <v>311</v>
      </c>
      <c r="G156" s="117">
        <v>5</v>
      </c>
      <c r="H156" s="35" t="s">
        <v>272</v>
      </c>
      <c r="I156" s="29">
        <v>1</v>
      </c>
      <c r="J156" s="37"/>
      <c r="K156" s="11"/>
      <c r="L156" s="49" t="s">
        <v>77</v>
      </c>
      <c r="M156" s="29">
        <v>1</v>
      </c>
      <c r="N156" s="289"/>
      <c r="O156" s="18">
        <f>T156</f>
        <v>26.496753246753247</v>
      </c>
      <c r="P156" s="33" t="s">
        <v>86</v>
      </c>
      <c r="Q156" s="20">
        <f>(G155+G156+G157+I154+I156+K154+M154+M156)/100</f>
        <v>1.62</v>
      </c>
      <c r="R156" s="21" t="s">
        <v>37</v>
      </c>
      <c r="S156" s="22" t="s">
        <v>87</v>
      </c>
      <c r="T156" s="23">
        <f>Q155*5+Q158*4+Q159*5</f>
        <v>26.496753246753247</v>
      </c>
      <c r="U156" s="21" t="s">
        <v>40</v>
      </c>
      <c r="V156" s="24">
        <f>T156*9/T154</f>
        <v>0.27456744851481851</v>
      </c>
    </row>
    <row r="157" spans="1:22" ht="16.899999999999999" customHeight="1">
      <c r="A157" s="280"/>
      <c r="B157" s="75"/>
      <c r="C157" s="76"/>
      <c r="D157" s="35"/>
      <c r="E157" s="36"/>
      <c r="F157" s="116" t="s">
        <v>82</v>
      </c>
      <c r="G157" s="117">
        <v>5</v>
      </c>
      <c r="H157" s="30" t="s">
        <v>345</v>
      </c>
      <c r="I157" s="105" t="s">
        <v>346</v>
      </c>
      <c r="J157" s="37"/>
      <c r="K157" s="11"/>
      <c r="L157" s="49"/>
      <c r="M157" s="29"/>
      <c r="N157" s="289"/>
      <c r="O157" s="32" t="s">
        <v>46</v>
      </c>
      <c r="P157" s="46" t="s">
        <v>88</v>
      </c>
      <c r="Q157" s="39">
        <v>0</v>
      </c>
      <c r="R157" s="21" t="s">
        <v>37</v>
      </c>
      <c r="S157" s="22" t="s">
        <v>89</v>
      </c>
      <c r="T157" s="23">
        <f>Q154*2+Q155*7+Q156*1+Q158*8</f>
        <v>36.915454545454544</v>
      </c>
      <c r="U157" s="21" t="s">
        <v>40</v>
      </c>
      <c r="V157" s="24">
        <f>T157*4/T154</f>
        <v>0.17001298353499955</v>
      </c>
    </row>
    <row r="158" spans="1:22" ht="16.899999999999999" customHeight="1">
      <c r="A158" s="280" t="s">
        <v>90</v>
      </c>
      <c r="B158" s="75"/>
      <c r="C158" s="76"/>
      <c r="D158" s="27"/>
      <c r="E158" s="28"/>
      <c r="F158" s="17"/>
      <c r="G158" s="31"/>
      <c r="H158" s="37"/>
      <c r="I158" s="29"/>
      <c r="J158" s="37"/>
      <c r="K158" s="11"/>
      <c r="L158" s="55"/>
      <c r="M158" s="29"/>
      <c r="N158" s="289"/>
      <c r="O158" s="18">
        <f>T157</f>
        <v>36.915454545454544</v>
      </c>
      <c r="P158" s="46" t="s">
        <v>47</v>
      </c>
      <c r="Q158" s="39">
        <v>0</v>
      </c>
      <c r="R158" s="21" t="s">
        <v>37</v>
      </c>
      <c r="S158" s="47"/>
      <c r="T158" s="47"/>
      <c r="U158" s="47"/>
      <c r="V158" s="48">
        <f>SUM(V155:V157)</f>
        <v>1</v>
      </c>
    </row>
    <row r="159" spans="1:22" ht="16.899999999999999" customHeight="1">
      <c r="A159" s="280"/>
      <c r="B159" s="75"/>
      <c r="C159" s="76"/>
      <c r="D159" s="27"/>
      <c r="E159" s="28"/>
      <c r="F159" s="35"/>
      <c r="G159" s="36"/>
      <c r="H159" s="37"/>
      <c r="I159" s="144"/>
      <c r="J159" s="37"/>
      <c r="K159" s="11"/>
      <c r="L159" s="120"/>
      <c r="N159" s="289"/>
      <c r="O159" s="32" t="s">
        <v>93</v>
      </c>
      <c r="P159" s="50" t="s">
        <v>92</v>
      </c>
      <c r="Q159" s="39">
        <v>2.4</v>
      </c>
      <c r="R159" s="21" t="s">
        <v>194</v>
      </c>
      <c r="S159" s="51"/>
      <c r="T159" s="51"/>
      <c r="U159" s="51"/>
      <c r="V159" s="52"/>
    </row>
    <row r="160" spans="1:22" ht="16.2" customHeight="1" thickBot="1">
      <c r="A160" s="281"/>
      <c r="B160" s="282" t="s">
        <v>130</v>
      </c>
      <c r="C160" s="283"/>
      <c r="D160" s="282" t="s">
        <v>273</v>
      </c>
      <c r="E160" s="283"/>
      <c r="F160" s="282" t="s">
        <v>221</v>
      </c>
      <c r="G160" s="283"/>
      <c r="H160" s="284" t="s">
        <v>221</v>
      </c>
      <c r="I160" s="285"/>
      <c r="J160" s="282" t="s">
        <v>222</v>
      </c>
      <c r="K160" s="283"/>
      <c r="L160" s="282" t="s">
        <v>174</v>
      </c>
      <c r="M160" s="283"/>
      <c r="N160" s="290"/>
      <c r="O160" s="61">
        <f>Q160</f>
        <v>868.53259740259739</v>
      </c>
      <c r="P160" s="56" t="s">
        <v>196</v>
      </c>
      <c r="Q160" s="57">
        <f>Q154*68+Q155*73+Q156*24+Q157*60+Q158*112+Q159*45</f>
        <v>868.53259740259739</v>
      </c>
      <c r="R160" s="58" t="s">
        <v>177</v>
      </c>
      <c r="S160" s="59"/>
      <c r="T160" s="59"/>
      <c r="U160" s="59"/>
      <c r="V160" s="60"/>
    </row>
    <row r="161" spans="1:22" s="206" customFormat="1" ht="22.85" customHeight="1" thickBot="1">
      <c r="A161" s="295">
        <f>A153+1</f>
        <v>44160</v>
      </c>
      <c r="B161" s="293" t="s">
        <v>589</v>
      </c>
      <c r="C161" s="294"/>
      <c r="D161" s="296" t="s">
        <v>635</v>
      </c>
      <c r="E161" s="297"/>
      <c r="F161" s="296" t="s">
        <v>274</v>
      </c>
      <c r="G161" s="297"/>
      <c r="H161" s="296" t="s">
        <v>596</v>
      </c>
      <c r="I161" s="297"/>
      <c r="J161" s="293" t="s">
        <v>206</v>
      </c>
      <c r="K161" s="294"/>
      <c r="L161" s="296" t="s">
        <v>592</v>
      </c>
      <c r="M161" s="297"/>
      <c r="N161" s="288"/>
      <c r="O161" s="205" t="s">
        <v>251</v>
      </c>
      <c r="P161" s="304" t="s">
        <v>179</v>
      </c>
      <c r="Q161" s="305"/>
      <c r="R161" s="306"/>
      <c r="S161" s="307" t="s">
        <v>198</v>
      </c>
      <c r="T161" s="308"/>
      <c r="U161" s="308"/>
      <c r="V161" s="309"/>
    </row>
    <row r="162" spans="1:22" ht="16.899999999999999" customHeight="1">
      <c r="A162" s="280"/>
      <c r="B162" s="81" t="s">
        <v>149</v>
      </c>
      <c r="C162" s="82">
        <v>110</v>
      </c>
      <c r="D162" s="10" t="s">
        <v>591</v>
      </c>
      <c r="E162" s="162">
        <v>100</v>
      </c>
      <c r="F162" s="63" t="s">
        <v>121</v>
      </c>
      <c r="G162" s="165">
        <v>20</v>
      </c>
      <c r="H162" s="63" t="s">
        <v>596</v>
      </c>
      <c r="I162" s="165">
        <v>30</v>
      </c>
      <c r="J162" s="182" t="s">
        <v>182</v>
      </c>
      <c r="K162" s="175">
        <v>120</v>
      </c>
      <c r="L162" s="79" t="s">
        <v>593</v>
      </c>
      <c r="M162" s="168">
        <v>20</v>
      </c>
      <c r="N162" s="289"/>
      <c r="O162" s="18">
        <f>T163</f>
        <v>121.29059469941824</v>
      </c>
      <c r="P162" s="4" t="s">
        <v>15</v>
      </c>
      <c r="Q162" s="5">
        <f>C162/20+G164/70+M162/25+C163/85+I162/30</f>
        <v>7.5016806722689076</v>
      </c>
      <c r="R162" s="6" t="s">
        <v>194</v>
      </c>
      <c r="S162" s="65" t="s">
        <v>17</v>
      </c>
      <c r="T162" s="66">
        <f>Q168</f>
        <v>874.92439560439561</v>
      </c>
      <c r="U162" s="67" t="s">
        <v>61</v>
      </c>
      <c r="V162" s="83"/>
    </row>
    <row r="163" spans="1:22" ht="16.899999999999999" customHeight="1">
      <c r="A163" s="280"/>
      <c r="B163" s="185" t="s">
        <v>288</v>
      </c>
      <c r="C163" s="29">
        <v>5</v>
      </c>
      <c r="D163" s="30"/>
      <c r="E163" s="36"/>
      <c r="F163" s="17" t="s">
        <v>122</v>
      </c>
      <c r="G163" s="29">
        <v>15</v>
      </c>
      <c r="H163" s="17"/>
      <c r="I163" s="29"/>
      <c r="J163" s="87"/>
      <c r="K163" s="74"/>
      <c r="L163" s="86" t="s">
        <v>594</v>
      </c>
      <c r="M163" s="28" t="s">
        <v>595</v>
      </c>
      <c r="N163" s="289"/>
      <c r="O163" s="32" t="s">
        <v>79</v>
      </c>
      <c r="P163" s="19" t="s">
        <v>24</v>
      </c>
      <c r="Q163" s="20">
        <f>E162/35+C166/35</f>
        <v>2.9428571428571431</v>
      </c>
      <c r="R163" s="21" t="s">
        <v>37</v>
      </c>
      <c r="S163" s="22" t="s">
        <v>186</v>
      </c>
      <c r="T163" s="23">
        <f>Q162*15+Q164*5+Q165*15+Q166*12</f>
        <v>121.29059469941824</v>
      </c>
      <c r="U163" s="21" t="s">
        <v>40</v>
      </c>
      <c r="V163" s="24">
        <f>T163*4/T162</f>
        <v>0.55451920329930215</v>
      </c>
    </row>
    <row r="164" spans="1:22" ht="16.899999999999999" customHeight="1">
      <c r="A164" s="280"/>
      <c r="B164" s="27" t="s">
        <v>33</v>
      </c>
      <c r="C164" s="29">
        <v>5</v>
      </c>
      <c r="D164" s="30"/>
      <c r="E164" s="29"/>
      <c r="F164" s="199" t="s">
        <v>275</v>
      </c>
      <c r="G164" s="29">
        <v>10</v>
      </c>
      <c r="H164" s="37"/>
      <c r="I164" s="29"/>
      <c r="J164" s="100"/>
      <c r="K164" s="11"/>
      <c r="L164" s="87"/>
      <c r="M164" s="11"/>
      <c r="N164" s="289"/>
      <c r="O164" s="18">
        <f>T164</f>
        <v>26.714285714285715</v>
      </c>
      <c r="P164" s="33" t="s">
        <v>188</v>
      </c>
      <c r="Q164" s="20">
        <f>(C164+C165+G162+G163+G165+G166+K162)/100</f>
        <v>1.73</v>
      </c>
      <c r="R164" s="21" t="s">
        <v>194</v>
      </c>
      <c r="S164" s="22" t="s">
        <v>238</v>
      </c>
      <c r="T164" s="23">
        <f>Q163*5+Q166*4+Q167*5</f>
        <v>26.714285714285715</v>
      </c>
      <c r="U164" s="21" t="s">
        <v>187</v>
      </c>
      <c r="V164" s="24">
        <f>T164*9/T162</f>
        <v>0.2747992542401152</v>
      </c>
    </row>
    <row r="165" spans="1:22" ht="16.899999999999999" customHeight="1">
      <c r="A165" s="280"/>
      <c r="B165" s="185" t="s">
        <v>107</v>
      </c>
      <c r="C165" s="29">
        <v>5</v>
      </c>
      <c r="D165" s="30"/>
      <c r="E165" s="11"/>
      <c r="F165" s="30" t="s">
        <v>107</v>
      </c>
      <c r="G165" s="29">
        <v>5</v>
      </c>
      <c r="H165" s="30"/>
      <c r="I165" s="29"/>
      <c r="J165" s="87"/>
      <c r="K165" s="11"/>
      <c r="L165" s="86"/>
      <c r="M165" s="28"/>
      <c r="N165" s="289"/>
      <c r="O165" s="32" t="s">
        <v>192</v>
      </c>
      <c r="P165" s="46" t="s">
        <v>191</v>
      </c>
      <c r="Q165" s="39">
        <f>C167/130</f>
        <v>7.6923076923076927E-3</v>
      </c>
      <c r="R165" s="21" t="s">
        <v>194</v>
      </c>
      <c r="S165" s="22" t="s">
        <v>216</v>
      </c>
      <c r="T165" s="23">
        <f>Q162*2+Q163*7+Q164*1+Q166*8</f>
        <v>37.333361344537813</v>
      </c>
      <c r="U165" s="21" t="s">
        <v>187</v>
      </c>
      <c r="V165" s="24">
        <f>T165*4/T162</f>
        <v>0.17068154246058265</v>
      </c>
    </row>
    <row r="166" spans="1:22" ht="16.899999999999999" customHeight="1">
      <c r="A166" s="280" t="s">
        <v>276</v>
      </c>
      <c r="B166" s="185" t="s">
        <v>308</v>
      </c>
      <c r="C166" s="29">
        <v>3</v>
      </c>
      <c r="D166" s="148"/>
      <c r="E166" s="26"/>
      <c r="F166" s="27" t="s">
        <v>157</v>
      </c>
      <c r="G166" s="28">
        <v>3</v>
      </c>
      <c r="H166" s="27"/>
      <c r="I166" s="28"/>
      <c r="J166" s="87"/>
      <c r="K166" s="11"/>
      <c r="L166" s="91"/>
      <c r="M166" s="92"/>
      <c r="N166" s="289"/>
      <c r="O166" s="18">
        <f>T165</f>
        <v>37.333361344537813</v>
      </c>
      <c r="P166" s="46" t="s">
        <v>47</v>
      </c>
      <c r="Q166" s="39">
        <v>0</v>
      </c>
      <c r="R166" s="21" t="s">
        <v>37</v>
      </c>
      <c r="S166" s="47"/>
      <c r="T166" s="47"/>
      <c r="U166" s="47"/>
      <c r="V166" s="48">
        <f>SUM(V163:V165)</f>
        <v>1</v>
      </c>
    </row>
    <row r="167" spans="1:22" ht="16.899999999999999" customHeight="1">
      <c r="A167" s="280"/>
      <c r="B167" s="185" t="s">
        <v>590</v>
      </c>
      <c r="C167" s="29">
        <v>1</v>
      </c>
      <c r="D167" s="37"/>
      <c r="E167" s="11"/>
      <c r="F167" s="160"/>
      <c r="G167" s="108"/>
      <c r="H167" s="160"/>
      <c r="I167" s="108"/>
      <c r="J167" s="55"/>
      <c r="K167" s="105"/>
      <c r="L167" s="93"/>
      <c r="M167" s="92"/>
      <c r="N167" s="289"/>
      <c r="O167" s="32" t="s">
        <v>219</v>
      </c>
      <c r="P167" s="50" t="s">
        <v>220</v>
      </c>
      <c r="Q167" s="39">
        <v>2.4</v>
      </c>
      <c r="R167" s="21" t="s">
        <v>194</v>
      </c>
      <c r="S167" s="51"/>
      <c r="T167" s="51"/>
      <c r="U167" s="51"/>
      <c r="V167" s="52"/>
    </row>
    <row r="168" spans="1:22" ht="16.2" customHeight="1" thickBot="1">
      <c r="A168" s="281"/>
      <c r="B168" s="282" t="s">
        <v>517</v>
      </c>
      <c r="C168" s="283"/>
      <c r="D168" s="282" t="s">
        <v>492</v>
      </c>
      <c r="E168" s="283"/>
      <c r="F168" s="327" t="s">
        <v>95</v>
      </c>
      <c r="G168" s="311"/>
      <c r="H168" s="327" t="s">
        <v>597</v>
      </c>
      <c r="I168" s="311"/>
      <c r="J168" s="292" t="s">
        <v>222</v>
      </c>
      <c r="K168" s="283"/>
      <c r="L168" s="282" t="s">
        <v>57</v>
      </c>
      <c r="M168" s="283"/>
      <c r="N168" s="290"/>
      <c r="O168" s="61">
        <f>Q168</f>
        <v>874.92439560439561</v>
      </c>
      <c r="P168" s="56" t="s">
        <v>54</v>
      </c>
      <c r="Q168" s="57">
        <f>Q162*68+Q163*73+Q164*24+Q165*60+Q166*112+Q167*45</f>
        <v>874.92439560439561</v>
      </c>
      <c r="R168" s="58" t="s">
        <v>177</v>
      </c>
      <c r="S168" s="59"/>
      <c r="T168" s="59"/>
      <c r="U168" s="59"/>
      <c r="V168" s="60"/>
    </row>
    <row r="169" spans="1:22" s="206" customFormat="1" ht="22.85" customHeight="1" thickBot="1">
      <c r="A169" s="295">
        <f>A161+1</f>
        <v>44161</v>
      </c>
      <c r="B169" s="314" t="s">
        <v>496</v>
      </c>
      <c r="C169" s="315"/>
      <c r="D169" s="296" t="s">
        <v>598</v>
      </c>
      <c r="E169" s="297"/>
      <c r="F169" s="293" t="s">
        <v>601</v>
      </c>
      <c r="G169" s="294"/>
      <c r="H169" s="296" t="s">
        <v>307</v>
      </c>
      <c r="I169" s="297"/>
      <c r="J169" s="293" t="s">
        <v>206</v>
      </c>
      <c r="K169" s="294"/>
      <c r="L169" s="324" t="s">
        <v>607</v>
      </c>
      <c r="M169" s="325"/>
      <c r="N169" s="288"/>
      <c r="O169" s="205" t="s">
        <v>251</v>
      </c>
      <c r="P169" s="304" t="s">
        <v>68</v>
      </c>
      <c r="Q169" s="305"/>
      <c r="R169" s="306"/>
      <c r="S169" s="307" t="s">
        <v>20</v>
      </c>
      <c r="T169" s="308"/>
      <c r="U169" s="308"/>
      <c r="V169" s="309"/>
    </row>
    <row r="170" spans="1:22" ht="16.899999999999999" customHeight="1">
      <c r="A170" s="280"/>
      <c r="B170" s="169" t="s">
        <v>497</v>
      </c>
      <c r="C170" s="170">
        <v>110</v>
      </c>
      <c r="D170" s="10" t="s">
        <v>599</v>
      </c>
      <c r="E170" s="161">
        <v>60</v>
      </c>
      <c r="F170" s="63" t="s">
        <v>602</v>
      </c>
      <c r="G170" s="13">
        <v>30</v>
      </c>
      <c r="H170" s="12" t="s">
        <v>278</v>
      </c>
      <c r="I170" s="163">
        <v>45</v>
      </c>
      <c r="J170" s="15" t="s">
        <v>279</v>
      </c>
      <c r="K170" s="166">
        <v>80</v>
      </c>
      <c r="L170" s="12" t="s">
        <v>608</v>
      </c>
      <c r="M170" s="14">
        <v>20</v>
      </c>
      <c r="N170" s="289"/>
      <c r="O170" s="18">
        <f>T171</f>
        <v>125.8</v>
      </c>
      <c r="P170" s="4" t="s">
        <v>15</v>
      </c>
      <c r="Q170" s="5">
        <f>C170/20+C171/20+M172/20</f>
        <v>7.75</v>
      </c>
      <c r="R170" s="6" t="s">
        <v>194</v>
      </c>
      <c r="S170" s="65" t="s">
        <v>183</v>
      </c>
      <c r="T170" s="66">
        <f>Q176</f>
        <v>902.44389610389612</v>
      </c>
      <c r="U170" s="67" t="s">
        <v>61</v>
      </c>
      <c r="V170" s="68" t="s">
        <v>168</v>
      </c>
    </row>
    <row r="171" spans="1:22" ht="16.899999999999999" customHeight="1">
      <c r="A171" s="280"/>
      <c r="B171" s="185" t="s">
        <v>498</v>
      </c>
      <c r="C171" s="171">
        <v>40</v>
      </c>
      <c r="D171" s="35" t="s">
        <v>508</v>
      </c>
      <c r="E171" s="36">
        <v>15</v>
      </c>
      <c r="F171" s="35" t="s">
        <v>603</v>
      </c>
      <c r="G171" s="29">
        <v>5</v>
      </c>
      <c r="H171" s="30" t="s">
        <v>280</v>
      </c>
      <c r="I171" s="11">
        <v>10</v>
      </c>
      <c r="J171" s="93"/>
      <c r="K171" s="92"/>
      <c r="L171" s="30" t="s">
        <v>609</v>
      </c>
      <c r="M171" s="11">
        <v>5</v>
      </c>
      <c r="N171" s="289"/>
      <c r="O171" s="32" t="s">
        <v>185</v>
      </c>
      <c r="P171" s="19" t="s">
        <v>24</v>
      </c>
      <c r="Q171" s="20">
        <f>E170/40+G171/110+I171/35+M171/35+G173/35+G170/35</f>
        <v>2.9740259740259738</v>
      </c>
      <c r="R171" s="21" t="s">
        <v>194</v>
      </c>
      <c r="S171" s="22" t="s">
        <v>80</v>
      </c>
      <c r="T171" s="23">
        <f>Q170*15+Q172*5+Q173*15+Q174*12</f>
        <v>125.8</v>
      </c>
      <c r="U171" s="21" t="s">
        <v>40</v>
      </c>
      <c r="V171" s="24">
        <f>T171*4/T170</f>
        <v>0.5575969898765516</v>
      </c>
    </row>
    <row r="172" spans="1:22" ht="16.899999999999999" customHeight="1">
      <c r="A172" s="280"/>
      <c r="B172" s="87"/>
      <c r="C172" s="172"/>
      <c r="D172" s="35" t="s">
        <v>600</v>
      </c>
      <c r="E172" s="36">
        <v>5</v>
      </c>
      <c r="F172" s="30" t="s">
        <v>563</v>
      </c>
      <c r="G172" s="29">
        <v>15</v>
      </c>
      <c r="H172" s="30" t="s">
        <v>236</v>
      </c>
      <c r="I172" s="11">
        <v>5</v>
      </c>
      <c r="J172" s="17"/>
      <c r="K172" s="29"/>
      <c r="L172" s="30" t="s">
        <v>610</v>
      </c>
      <c r="M172" s="29">
        <v>5</v>
      </c>
      <c r="N172" s="289"/>
      <c r="O172" s="18">
        <f>T172</f>
        <v>27.370129870129869</v>
      </c>
      <c r="P172" s="33" t="s">
        <v>189</v>
      </c>
      <c r="Q172" s="20">
        <f>(E171+E172+E173+G172+G174+G175+I170+I172+I173+K170+M170)/100</f>
        <v>1.91</v>
      </c>
      <c r="R172" s="21" t="s">
        <v>37</v>
      </c>
      <c r="S172" s="22" t="s">
        <v>238</v>
      </c>
      <c r="T172" s="23">
        <f>Q171*5+Q174*4+Q175*5</f>
        <v>27.370129870129869</v>
      </c>
      <c r="U172" s="21" t="s">
        <v>187</v>
      </c>
      <c r="V172" s="24">
        <f>T172*9/T170</f>
        <v>0.27296009191779086</v>
      </c>
    </row>
    <row r="173" spans="1:22" ht="16.899999999999999" customHeight="1">
      <c r="A173" s="280"/>
      <c r="B173" s="174"/>
      <c r="C173" s="171"/>
      <c r="D173" s="27" t="s">
        <v>553</v>
      </c>
      <c r="E173" s="28">
        <v>1</v>
      </c>
      <c r="F173" s="149" t="s">
        <v>507</v>
      </c>
      <c r="G173" s="150">
        <v>5</v>
      </c>
      <c r="H173" s="30" t="s">
        <v>239</v>
      </c>
      <c r="I173" s="11">
        <v>3</v>
      </c>
      <c r="J173" s="44"/>
      <c r="K173" s="45"/>
      <c r="L173" s="30"/>
      <c r="M173" s="29"/>
      <c r="N173" s="289"/>
      <c r="O173" s="32" t="s">
        <v>46</v>
      </c>
      <c r="P173" s="46" t="s">
        <v>191</v>
      </c>
      <c r="Q173" s="39">
        <v>0</v>
      </c>
      <c r="R173" s="21" t="s">
        <v>37</v>
      </c>
      <c r="S173" s="22" t="s">
        <v>216</v>
      </c>
      <c r="T173" s="23">
        <f>Q170*2+Q171*7+Q172*1+Q174*8</f>
        <v>38.22818181818181</v>
      </c>
      <c r="U173" s="21" t="s">
        <v>40</v>
      </c>
      <c r="V173" s="24">
        <f>T173*4/T170</f>
        <v>0.16944291820565738</v>
      </c>
    </row>
    <row r="174" spans="1:22" ht="16.899999999999999" customHeight="1">
      <c r="A174" s="280" t="s">
        <v>281</v>
      </c>
      <c r="B174" s="173"/>
      <c r="C174" s="171"/>
      <c r="D174" s="27"/>
      <c r="E174" s="28"/>
      <c r="F174" s="44" t="s">
        <v>604</v>
      </c>
      <c r="G174" s="45">
        <v>1</v>
      </c>
      <c r="H174" s="27"/>
      <c r="I174" s="11"/>
      <c r="J174" s="27"/>
      <c r="K174" s="125"/>
      <c r="L174" s="37"/>
      <c r="M174" s="29"/>
      <c r="N174" s="289"/>
      <c r="O174" s="18">
        <f>T173</f>
        <v>38.22818181818181</v>
      </c>
      <c r="P174" s="46" t="s">
        <v>47</v>
      </c>
      <c r="Q174" s="39">
        <v>0</v>
      </c>
      <c r="R174" s="21" t="s">
        <v>37</v>
      </c>
      <c r="S174" s="47"/>
      <c r="T174" s="47"/>
      <c r="U174" s="47"/>
      <c r="V174" s="48">
        <f>SUM(V171:V173)</f>
        <v>0.99999999999999978</v>
      </c>
    </row>
    <row r="175" spans="1:22" ht="16.899999999999999" customHeight="1">
      <c r="A175" s="280"/>
      <c r="B175" s="174"/>
      <c r="C175" s="171"/>
      <c r="D175" s="27"/>
      <c r="E175" s="28"/>
      <c r="F175" s="27" t="s">
        <v>605</v>
      </c>
      <c r="G175" s="28">
        <v>1</v>
      </c>
      <c r="H175" s="17"/>
      <c r="I175" s="29"/>
      <c r="J175" s="27"/>
      <c r="K175" s="125"/>
      <c r="L175" s="37"/>
      <c r="M175" s="11"/>
      <c r="N175" s="289"/>
      <c r="O175" s="32" t="s">
        <v>219</v>
      </c>
      <c r="P175" s="50" t="s">
        <v>220</v>
      </c>
      <c r="Q175" s="39">
        <v>2.5</v>
      </c>
      <c r="R175" s="21" t="s">
        <v>37</v>
      </c>
      <c r="S175" s="51"/>
      <c r="T175" s="51"/>
      <c r="U175" s="51"/>
      <c r="V175" s="52"/>
    </row>
    <row r="176" spans="1:22" ht="16.2" customHeight="1" thickBot="1">
      <c r="A176" s="281"/>
      <c r="B176" s="286" t="s">
        <v>499</v>
      </c>
      <c r="C176" s="287"/>
      <c r="D176" s="282" t="s">
        <v>637</v>
      </c>
      <c r="E176" s="283"/>
      <c r="F176" s="282" t="s">
        <v>606</v>
      </c>
      <c r="G176" s="283"/>
      <c r="H176" s="282" t="s">
        <v>95</v>
      </c>
      <c r="I176" s="283"/>
      <c r="J176" s="282" t="s">
        <v>58</v>
      </c>
      <c r="K176" s="283"/>
      <c r="L176" s="282" t="s">
        <v>503</v>
      </c>
      <c r="M176" s="283"/>
      <c r="N176" s="290"/>
      <c r="O176" s="61">
        <f>Q176</f>
        <v>902.44389610389612</v>
      </c>
      <c r="P176" s="56" t="s">
        <v>54</v>
      </c>
      <c r="Q176" s="57">
        <f>Q170*68+Q171*73+Q172*24+Q173*60+Q174*112+Q175*45</f>
        <v>902.44389610389612</v>
      </c>
      <c r="R176" s="58" t="s">
        <v>61</v>
      </c>
      <c r="S176" s="59"/>
      <c r="T176" s="59"/>
      <c r="U176" s="59"/>
      <c r="V176" s="60"/>
    </row>
    <row r="177" spans="1:22" s="206" customFormat="1" ht="22.85" customHeight="1" thickBot="1">
      <c r="A177" s="295">
        <f>A169+1</f>
        <v>44162</v>
      </c>
      <c r="B177" s="321" t="s">
        <v>100</v>
      </c>
      <c r="C177" s="321"/>
      <c r="D177" s="293" t="s">
        <v>282</v>
      </c>
      <c r="E177" s="294"/>
      <c r="F177" s="296" t="s">
        <v>283</v>
      </c>
      <c r="G177" s="297"/>
      <c r="H177" s="293" t="s">
        <v>284</v>
      </c>
      <c r="I177" s="294"/>
      <c r="J177" s="293" t="s">
        <v>12</v>
      </c>
      <c r="K177" s="294"/>
      <c r="L177" s="293" t="s">
        <v>332</v>
      </c>
      <c r="M177" s="294"/>
      <c r="N177" s="288"/>
      <c r="O177" s="205" t="s">
        <v>67</v>
      </c>
      <c r="P177" s="304" t="s">
        <v>179</v>
      </c>
      <c r="Q177" s="305"/>
      <c r="R177" s="306"/>
      <c r="S177" s="307" t="s">
        <v>20</v>
      </c>
      <c r="T177" s="308"/>
      <c r="U177" s="308"/>
      <c r="V177" s="309"/>
    </row>
    <row r="178" spans="1:22" ht="16.899999999999999" customHeight="1">
      <c r="A178" s="280"/>
      <c r="B178" s="81" t="s">
        <v>74</v>
      </c>
      <c r="C178" s="82">
        <v>150</v>
      </c>
      <c r="D178" s="10" t="s">
        <v>285</v>
      </c>
      <c r="E178" s="161">
        <v>70</v>
      </c>
      <c r="F178" s="78" t="s">
        <v>286</v>
      </c>
      <c r="G178" s="175">
        <v>30</v>
      </c>
      <c r="H178" s="12" t="s">
        <v>287</v>
      </c>
      <c r="I178" s="187">
        <v>40</v>
      </c>
      <c r="J178" s="12" t="s">
        <v>611</v>
      </c>
      <c r="K178" s="165">
        <v>70</v>
      </c>
      <c r="L178" s="12" t="s">
        <v>333</v>
      </c>
      <c r="M178" s="163">
        <v>10</v>
      </c>
      <c r="N178" s="289"/>
      <c r="O178" s="18">
        <f>T179</f>
        <v>120.6</v>
      </c>
      <c r="P178" s="4" t="s">
        <v>15</v>
      </c>
      <c r="Q178" s="39">
        <f>C178/20</f>
        <v>7.5</v>
      </c>
      <c r="R178" s="6" t="s">
        <v>194</v>
      </c>
      <c r="S178" s="65" t="s">
        <v>17</v>
      </c>
      <c r="T178" s="66">
        <f>Q184</f>
        <v>864.26636363636362</v>
      </c>
      <c r="U178" s="67" t="s">
        <v>177</v>
      </c>
      <c r="V178" s="83"/>
    </row>
    <row r="179" spans="1:22" ht="16.899999999999999" customHeight="1">
      <c r="A179" s="280"/>
      <c r="B179" s="75"/>
      <c r="C179" s="76"/>
      <c r="D179" s="27" t="s">
        <v>51</v>
      </c>
      <c r="E179" s="28">
        <v>5</v>
      </c>
      <c r="F179" s="30" t="s">
        <v>117</v>
      </c>
      <c r="G179" s="11">
        <v>10</v>
      </c>
      <c r="H179" s="44" t="s">
        <v>235</v>
      </c>
      <c r="I179" s="113">
        <v>10</v>
      </c>
      <c r="J179" s="35"/>
      <c r="K179" s="36"/>
      <c r="L179" s="35" t="s">
        <v>158</v>
      </c>
      <c r="M179" s="29">
        <v>5</v>
      </c>
      <c r="N179" s="289"/>
      <c r="O179" s="32" t="s">
        <v>79</v>
      </c>
      <c r="P179" s="19" t="s">
        <v>24</v>
      </c>
      <c r="Q179" s="20">
        <f>E178/35+G178/40+M179/55</f>
        <v>2.8409090909090908</v>
      </c>
      <c r="R179" s="21" t="s">
        <v>37</v>
      </c>
      <c r="S179" s="22" t="s">
        <v>80</v>
      </c>
      <c r="T179" s="23">
        <f>Q178*15+Q180*5+Q181*15+Q182*12</f>
        <v>120.6</v>
      </c>
      <c r="U179" s="21" t="s">
        <v>187</v>
      </c>
      <c r="V179" s="24">
        <f>T179*4/T178</f>
        <v>0.55816125710402831</v>
      </c>
    </row>
    <row r="180" spans="1:22" ht="16.899999999999999" customHeight="1">
      <c r="A180" s="280"/>
      <c r="B180" s="75"/>
      <c r="C180" s="76"/>
      <c r="D180" s="30" t="s">
        <v>289</v>
      </c>
      <c r="E180" s="11">
        <v>1</v>
      </c>
      <c r="F180" s="30"/>
      <c r="G180" s="11"/>
      <c r="H180" s="35" t="s">
        <v>82</v>
      </c>
      <c r="I180" s="113">
        <v>5</v>
      </c>
      <c r="J180" s="35"/>
      <c r="K180" s="29"/>
      <c r="L180" s="35" t="s">
        <v>334</v>
      </c>
      <c r="M180" s="29">
        <v>5</v>
      </c>
      <c r="N180" s="289"/>
      <c r="O180" s="18">
        <f>T180</f>
        <v>26.204545454545453</v>
      </c>
      <c r="P180" s="33" t="s">
        <v>189</v>
      </c>
      <c r="Q180" s="20">
        <f>(E179+E180+E181+G179+I178+I179+I180+I181+K178+M180+M178)/100</f>
        <v>1.62</v>
      </c>
      <c r="R180" s="21" t="s">
        <v>194</v>
      </c>
      <c r="S180" s="22" t="s">
        <v>238</v>
      </c>
      <c r="T180" s="23">
        <f>Q179*5+Q182*4+Q183*5</f>
        <v>26.204545454545453</v>
      </c>
      <c r="U180" s="21" t="s">
        <v>187</v>
      </c>
      <c r="V180" s="24">
        <f>T180*9/T178</f>
        <v>0.27287988867068547</v>
      </c>
    </row>
    <row r="181" spans="1:22" ht="16.899999999999999" customHeight="1">
      <c r="A181" s="280"/>
      <c r="B181" s="86"/>
      <c r="C181" s="28"/>
      <c r="D181" s="40" t="s">
        <v>84</v>
      </c>
      <c r="E181" s="11">
        <v>1</v>
      </c>
      <c r="F181" s="44"/>
      <c r="G181" s="28"/>
      <c r="H181" s="44" t="s">
        <v>33</v>
      </c>
      <c r="I181" s="113">
        <v>5</v>
      </c>
      <c r="J181" s="17"/>
      <c r="K181" s="29"/>
      <c r="L181" s="44"/>
      <c r="M181" s="45"/>
      <c r="N181" s="289"/>
      <c r="O181" s="32" t="s">
        <v>46</v>
      </c>
      <c r="P181" s="46" t="s">
        <v>191</v>
      </c>
      <c r="Q181" s="39">
        <v>0</v>
      </c>
      <c r="R181" s="21" t="s">
        <v>37</v>
      </c>
      <c r="S181" s="22" t="s">
        <v>89</v>
      </c>
      <c r="T181" s="23">
        <f>Q178*2+Q179*7+Q180*1+Q182*8</f>
        <v>36.506363636363638</v>
      </c>
      <c r="U181" s="21" t="s">
        <v>40</v>
      </c>
      <c r="V181" s="24">
        <f>T181*4/T178</f>
        <v>0.1689588542252862</v>
      </c>
    </row>
    <row r="182" spans="1:22" ht="16.899999999999999" customHeight="1">
      <c r="A182" s="280" t="s">
        <v>217</v>
      </c>
      <c r="B182" s="75"/>
      <c r="C182" s="76"/>
      <c r="D182" s="40"/>
      <c r="E182" s="53"/>
      <c r="F182" s="44"/>
      <c r="G182" s="28"/>
      <c r="H182" s="44"/>
      <c r="I182" s="45"/>
      <c r="J182" s="17"/>
      <c r="K182" s="29"/>
      <c r="L182" s="37"/>
      <c r="M182" s="29"/>
      <c r="N182" s="289"/>
      <c r="O182" s="18">
        <f>T181</f>
        <v>36.506363636363638</v>
      </c>
      <c r="P182" s="46" t="s">
        <v>47</v>
      </c>
      <c r="Q182" s="39">
        <v>0</v>
      </c>
      <c r="R182" s="21" t="s">
        <v>194</v>
      </c>
      <c r="S182" s="47"/>
      <c r="T182" s="47"/>
      <c r="U182" s="47"/>
      <c r="V182" s="48">
        <f>SUM(V179:V181)</f>
        <v>1</v>
      </c>
    </row>
    <row r="183" spans="1:22" ht="16.899999999999999" customHeight="1">
      <c r="A183" s="280"/>
      <c r="B183" s="94"/>
      <c r="C183" s="95"/>
      <c r="D183" s="40"/>
      <c r="E183" s="53"/>
      <c r="F183" s="151"/>
      <c r="G183" s="101"/>
      <c r="H183" s="44"/>
      <c r="I183" s="45"/>
      <c r="J183" s="94"/>
      <c r="K183" s="95"/>
      <c r="L183" s="17"/>
      <c r="M183" s="29"/>
      <c r="N183" s="289"/>
      <c r="O183" s="32" t="s">
        <v>93</v>
      </c>
      <c r="P183" s="50" t="s">
        <v>92</v>
      </c>
      <c r="Q183" s="39">
        <v>2.4</v>
      </c>
      <c r="R183" s="21" t="s">
        <v>37</v>
      </c>
      <c r="S183" s="51"/>
      <c r="T183" s="51"/>
      <c r="U183" s="51"/>
      <c r="V183" s="52"/>
    </row>
    <row r="184" spans="1:22" ht="16.2" customHeight="1" thickBot="1">
      <c r="A184" s="281"/>
      <c r="B184" s="282" t="s">
        <v>60</v>
      </c>
      <c r="C184" s="283"/>
      <c r="D184" s="282" t="s">
        <v>120</v>
      </c>
      <c r="E184" s="283"/>
      <c r="F184" s="282" t="s">
        <v>120</v>
      </c>
      <c r="G184" s="283"/>
      <c r="H184" s="282" t="s">
        <v>59</v>
      </c>
      <c r="I184" s="283"/>
      <c r="J184" s="282" t="s">
        <v>58</v>
      </c>
      <c r="K184" s="283"/>
      <c r="L184" s="282" t="s">
        <v>59</v>
      </c>
      <c r="M184" s="283"/>
      <c r="N184" s="290"/>
      <c r="O184" s="61">
        <f>Q184</f>
        <v>864.26636363636362</v>
      </c>
      <c r="P184" s="56" t="s">
        <v>54</v>
      </c>
      <c r="Q184" s="57">
        <f>Q178*68+Q179*73+Q180*24+Q181*60+Q182*112+Q183*45</f>
        <v>864.26636363636362</v>
      </c>
      <c r="R184" s="58" t="s">
        <v>177</v>
      </c>
      <c r="S184" s="59"/>
      <c r="T184" s="59"/>
      <c r="U184" s="59"/>
      <c r="V184" s="60"/>
    </row>
    <row r="185" spans="1:22" ht="15.65" customHeight="1">
      <c r="A185" s="180"/>
      <c r="B185" s="200"/>
      <c r="C185" s="278" t="s">
        <v>366</v>
      </c>
      <c r="D185" s="278"/>
      <c r="E185" s="180"/>
      <c r="F185" s="184"/>
      <c r="G185" s="180" t="s">
        <v>367</v>
      </c>
      <c r="H185" s="180"/>
      <c r="I185" s="180"/>
      <c r="J185" s="204"/>
      <c r="K185" s="278" t="s">
        <v>368</v>
      </c>
      <c r="L185" s="278"/>
      <c r="M185" s="180"/>
      <c r="N185" s="180"/>
      <c r="O185" s="180"/>
    </row>
    <row r="186" spans="1:22" ht="16.2" customHeight="1">
      <c r="A186" s="276" t="s">
        <v>319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22" ht="16.2" customHeight="1">
      <c r="A187" s="277" t="s">
        <v>318</v>
      </c>
      <c r="B187" s="277"/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277"/>
    </row>
    <row r="188" spans="1:22" ht="16.2" customHeight="1">
      <c r="A188" s="276" t="s">
        <v>315</v>
      </c>
      <c r="B188" s="276"/>
      <c r="C188" s="276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191"/>
      <c r="O188" s="183"/>
    </row>
    <row r="189" spans="1:22" ht="16.2" customHeight="1">
      <c r="A189" s="276" t="s">
        <v>316</v>
      </c>
      <c r="B189" s="276"/>
      <c r="C189" s="276"/>
      <c r="D189" s="276"/>
      <c r="E189" s="276"/>
      <c r="F189" s="276"/>
      <c r="G189" s="276"/>
      <c r="H189" s="276"/>
      <c r="I189" s="276"/>
      <c r="J189" s="276"/>
      <c r="K189" s="276"/>
      <c r="L189" s="276"/>
      <c r="M189" s="276"/>
      <c r="N189" s="191"/>
      <c r="O189" s="183"/>
    </row>
    <row r="190" spans="1:22" ht="23.3" customHeight="1" thickBot="1">
      <c r="A190" s="279" t="s">
        <v>290</v>
      </c>
      <c r="B190" s="279"/>
      <c r="C190" s="279"/>
      <c r="D190" s="279"/>
      <c r="E190" s="279"/>
      <c r="F190" s="279"/>
      <c r="G190" s="279"/>
      <c r="H190" s="279"/>
      <c r="I190" s="279"/>
      <c r="J190" s="279"/>
      <c r="K190" s="279"/>
      <c r="L190" s="279"/>
      <c r="M190" s="279"/>
      <c r="N190" s="193"/>
      <c r="O190" s="237" t="s">
        <v>633</v>
      </c>
    </row>
    <row r="191" spans="1:22" ht="36" customHeight="1" thickBot="1">
      <c r="A191" s="109" t="s">
        <v>260</v>
      </c>
      <c r="B191" s="3" t="s">
        <v>229</v>
      </c>
      <c r="C191" s="2" t="s">
        <v>9</v>
      </c>
      <c r="D191" s="3" t="s">
        <v>261</v>
      </c>
      <c r="E191" s="2" t="s">
        <v>9</v>
      </c>
      <c r="F191" s="3" t="s">
        <v>262</v>
      </c>
      <c r="G191" s="2" t="s">
        <v>227</v>
      </c>
      <c r="H191" s="3" t="s">
        <v>226</v>
      </c>
      <c r="I191" s="2" t="s">
        <v>9</v>
      </c>
      <c r="J191" s="3" t="s">
        <v>262</v>
      </c>
      <c r="K191" s="2" t="s">
        <v>9</v>
      </c>
      <c r="L191" s="3" t="s">
        <v>228</v>
      </c>
      <c r="M191" s="2" t="s">
        <v>227</v>
      </c>
      <c r="N191" s="194" t="s">
        <v>330</v>
      </c>
      <c r="O191" s="194" t="s">
        <v>329</v>
      </c>
      <c r="P191" s="299" t="s">
        <v>230</v>
      </c>
      <c r="Q191" s="300"/>
      <c r="R191" s="300"/>
      <c r="S191" s="300"/>
      <c r="T191" s="300"/>
      <c r="U191" s="300"/>
      <c r="V191" s="301"/>
    </row>
    <row r="192" spans="1:22" s="206" customFormat="1" ht="22.85" customHeight="1" thickBot="1">
      <c r="A192" s="295">
        <f>A177+3</f>
        <v>44165</v>
      </c>
      <c r="B192" s="293" t="s">
        <v>231</v>
      </c>
      <c r="C192" s="294"/>
      <c r="D192" s="296" t="s">
        <v>612</v>
      </c>
      <c r="E192" s="297"/>
      <c r="F192" s="296" t="s">
        <v>613</v>
      </c>
      <c r="G192" s="297"/>
      <c r="H192" s="296" t="s">
        <v>614</v>
      </c>
      <c r="I192" s="297"/>
      <c r="J192" s="293" t="s">
        <v>12</v>
      </c>
      <c r="K192" s="294"/>
      <c r="L192" s="293" t="s">
        <v>291</v>
      </c>
      <c r="M192" s="294"/>
      <c r="N192" s="288"/>
      <c r="O192" s="205" t="s">
        <v>67</v>
      </c>
      <c r="P192" s="304" t="s">
        <v>68</v>
      </c>
      <c r="Q192" s="305"/>
      <c r="R192" s="306"/>
      <c r="S192" s="307" t="s">
        <v>20</v>
      </c>
      <c r="T192" s="308"/>
      <c r="U192" s="308"/>
      <c r="V192" s="309"/>
    </row>
    <row r="193" spans="1:22" ht="16.899999999999999" customHeight="1">
      <c r="A193" s="280"/>
      <c r="B193" s="115" t="s">
        <v>23</v>
      </c>
      <c r="C193" s="14">
        <v>110</v>
      </c>
      <c r="D193" s="35" t="s">
        <v>521</v>
      </c>
      <c r="E193" s="36">
        <v>60</v>
      </c>
      <c r="F193" s="111" t="s">
        <v>615</v>
      </c>
      <c r="G193" s="196">
        <v>30</v>
      </c>
      <c r="H193" s="63" t="s">
        <v>548</v>
      </c>
      <c r="I193" s="165">
        <v>40</v>
      </c>
      <c r="J193" s="241" t="s">
        <v>666</v>
      </c>
      <c r="K193" s="175">
        <v>100</v>
      </c>
      <c r="L193" s="12" t="s">
        <v>288</v>
      </c>
      <c r="M193" s="163">
        <v>10</v>
      </c>
      <c r="N193" s="289"/>
      <c r="O193" s="18">
        <f>T194</f>
        <v>125.16237488002193</v>
      </c>
      <c r="P193" s="25" t="s">
        <v>15</v>
      </c>
      <c r="Q193" s="5">
        <f>C193/20+C194/20+I197/55+M193/85+M194/90</f>
        <v>7.727748068924539</v>
      </c>
      <c r="R193" s="6" t="s">
        <v>194</v>
      </c>
      <c r="S193" s="7" t="s">
        <v>183</v>
      </c>
      <c r="T193" s="8">
        <f>Q199</f>
        <v>876.80880008880001</v>
      </c>
      <c r="U193" s="6" t="s">
        <v>177</v>
      </c>
      <c r="V193" s="9" t="s">
        <v>232</v>
      </c>
    </row>
    <row r="194" spans="1:22" ht="16.899999999999999" customHeight="1">
      <c r="A194" s="280"/>
      <c r="B194" s="35" t="s">
        <v>154</v>
      </c>
      <c r="C194" s="29">
        <v>40</v>
      </c>
      <c r="D194" s="35" t="s">
        <v>482</v>
      </c>
      <c r="E194" s="36">
        <v>10</v>
      </c>
      <c r="F194" s="35" t="s">
        <v>616</v>
      </c>
      <c r="G194" s="203" t="s">
        <v>545</v>
      </c>
      <c r="H194" s="35" t="s">
        <v>311</v>
      </c>
      <c r="I194" s="29">
        <v>5</v>
      </c>
      <c r="J194" s="30"/>
      <c r="K194" s="31"/>
      <c r="L194" s="35" t="s">
        <v>246</v>
      </c>
      <c r="M194" s="29">
        <v>5</v>
      </c>
      <c r="N194" s="289"/>
      <c r="O194" s="32" t="s">
        <v>185</v>
      </c>
      <c r="P194" s="19" t="s">
        <v>24</v>
      </c>
      <c r="Q194" s="20">
        <f>E193/35+G193/35+I198/15+M197/55</f>
        <v>2.7290043290043289</v>
      </c>
      <c r="R194" s="21" t="s">
        <v>37</v>
      </c>
      <c r="S194" s="22" t="s">
        <v>186</v>
      </c>
      <c r="T194" s="23">
        <f>Q193*15+Q195*5+Q196*15+Q197*12</f>
        <v>125.16237488002193</v>
      </c>
      <c r="U194" s="21" t="s">
        <v>187</v>
      </c>
      <c r="V194" s="24">
        <f>T194*4/T193</f>
        <v>0.57099050496457582</v>
      </c>
    </row>
    <row r="195" spans="1:22" ht="16.899999999999999" customHeight="1">
      <c r="A195" s="280"/>
      <c r="B195" s="17"/>
      <c r="C195" s="29"/>
      <c r="D195" s="35" t="s">
        <v>515</v>
      </c>
      <c r="E195" s="36">
        <v>5</v>
      </c>
      <c r="F195" s="44"/>
      <c r="G195" s="90"/>
      <c r="H195" s="35" t="s">
        <v>552</v>
      </c>
      <c r="I195" s="29">
        <v>5</v>
      </c>
      <c r="J195" s="37"/>
      <c r="K195" s="11"/>
      <c r="L195" s="17" t="s">
        <v>236</v>
      </c>
      <c r="M195" s="29">
        <v>5</v>
      </c>
      <c r="N195" s="289"/>
      <c r="O195" s="18">
        <f>T195</f>
        <v>25.645021645021643</v>
      </c>
      <c r="P195" s="33" t="s">
        <v>189</v>
      </c>
      <c r="Q195" s="20">
        <f>(E194+E195+I193+I194+I195+I196+K193+M195+M196)/100</f>
        <v>1.78</v>
      </c>
      <c r="R195" s="21" t="s">
        <v>194</v>
      </c>
      <c r="S195" s="22" t="s">
        <v>238</v>
      </c>
      <c r="T195" s="23">
        <f>Q194*5+Q197*4+Q198*5</f>
        <v>25.645021645021643</v>
      </c>
      <c r="U195" s="21" t="s">
        <v>187</v>
      </c>
      <c r="V195" s="24">
        <f>T195*9/T193</f>
        <v>0.26323320977369258</v>
      </c>
    </row>
    <row r="196" spans="1:22" ht="16.899999999999999" customHeight="1">
      <c r="A196" s="280"/>
      <c r="B196" s="44"/>
      <c r="C196" s="45"/>
      <c r="D196" s="35" t="s">
        <v>617</v>
      </c>
      <c r="E196" s="36">
        <v>3</v>
      </c>
      <c r="F196" s="35"/>
      <c r="G196" s="90"/>
      <c r="H196" s="30" t="s">
        <v>618</v>
      </c>
      <c r="I196" s="29">
        <v>3</v>
      </c>
      <c r="J196" s="37"/>
      <c r="K196" s="11"/>
      <c r="L196" s="44" t="s">
        <v>311</v>
      </c>
      <c r="M196" s="45">
        <v>5</v>
      </c>
      <c r="N196" s="289"/>
      <c r="O196" s="32" t="s">
        <v>192</v>
      </c>
      <c r="P196" s="46" t="s">
        <v>191</v>
      </c>
      <c r="Q196" s="39">
        <f>E196/130</f>
        <v>2.3076923076923078E-2</v>
      </c>
      <c r="R196" s="21" t="s">
        <v>194</v>
      </c>
      <c r="S196" s="22" t="s">
        <v>216</v>
      </c>
      <c r="T196" s="23">
        <f>Q193*2+Q194*7+Q195*1+Q197*8</f>
        <v>36.338526440879377</v>
      </c>
      <c r="U196" s="21" t="s">
        <v>187</v>
      </c>
      <c r="V196" s="24">
        <f>T196*4/T193</f>
        <v>0.1657762852617316</v>
      </c>
    </row>
    <row r="197" spans="1:22" ht="16.899999999999999" customHeight="1">
      <c r="A197" s="280" t="s">
        <v>240</v>
      </c>
      <c r="B197" s="37"/>
      <c r="C197" s="29"/>
      <c r="D197" s="30"/>
      <c r="E197" s="11"/>
      <c r="F197" s="120"/>
      <c r="H197" s="30" t="s">
        <v>619</v>
      </c>
      <c r="I197" s="29">
        <v>3</v>
      </c>
      <c r="J197" s="37"/>
      <c r="K197" s="11"/>
      <c r="L197" s="37" t="s">
        <v>202</v>
      </c>
      <c r="M197" s="29">
        <v>5</v>
      </c>
      <c r="N197" s="289"/>
      <c r="O197" s="18">
        <f>T196</f>
        <v>36.338526440879377</v>
      </c>
      <c r="P197" s="46" t="s">
        <v>47</v>
      </c>
      <c r="Q197" s="39">
        <v>0</v>
      </c>
      <c r="R197" s="21" t="s">
        <v>194</v>
      </c>
      <c r="S197" s="47"/>
      <c r="T197" s="47"/>
      <c r="U197" s="47"/>
      <c r="V197" s="48">
        <f>SUM(V194:V196)</f>
        <v>1</v>
      </c>
    </row>
    <row r="198" spans="1:22" ht="16.899999999999999" customHeight="1">
      <c r="A198" s="280"/>
      <c r="B198" s="17"/>
      <c r="C198" s="29"/>
      <c r="D198" s="37"/>
      <c r="E198" s="11"/>
      <c r="F198" s="44"/>
      <c r="G198" s="90"/>
      <c r="H198" s="37" t="s">
        <v>620</v>
      </c>
      <c r="I198" s="11">
        <v>1</v>
      </c>
      <c r="J198" s="37"/>
      <c r="K198" s="11"/>
      <c r="L198" s="17"/>
      <c r="M198" s="29"/>
      <c r="N198" s="289"/>
      <c r="O198" s="32" t="s">
        <v>219</v>
      </c>
      <c r="P198" s="50" t="s">
        <v>220</v>
      </c>
      <c r="Q198" s="39">
        <v>2.4</v>
      </c>
      <c r="R198" s="21" t="s">
        <v>194</v>
      </c>
      <c r="S198" s="51"/>
      <c r="T198" s="51"/>
      <c r="U198" s="51"/>
      <c r="V198" s="52"/>
    </row>
    <row r="199" spans="1:22" ht="16.2" customHeight="1" thickBot="1">
      <c r="A199" s="281"/>
      <c r="B199" s="282" t="s">
        <v>60</v>
      </c>
      <c r="C199" s="283"/>
      <c r="D199" s="282" t="s">
        <v>510</v>
      </c>
      <c r="E199" s="283"/>
      <c r="F199" s="282" t="s">
        <v>631</v>
      </c>
      <c r="G199" s="292"/>
      <c r="H199" s="282" t="s">
        <v>626</v>
      </c>
      <c r="I199" s="283"/>
      <c r="J199" s="282" t="s">
        <v>58</v>
      </c>
      <c r="K199" s="283"/>
      <c r="L199" s="282" t="s">
        <v>174</v>
      </c>
      <c r="M199" s="283"/>
      <c r="N199" s="290"/>
      <c r="O199" s="61">
        <f>Q199</f>
        <v>876.80880008880001</v>
      </c>
      <c r="P199" s="56" t="s">
        <v>196</v>
      </c>
      <c r="Q199" s="57">
        <f>Q193*68+Q194*73+Q195*24+Q196*60+Q197*112+Q198*45</f>
        <v>876.80880008880001</v>
      </c>
      <c r="R199" s="58" t="s">
        <v>177</v>
      </c>
      <c r="S199" s="59"/>
      <c r="T199" s="59"/>
      <c r="U199" s="59"/>
      <c r="V199" s="60"/>
    </row>
    <row r="200" spans="1:22" s="206" customFormat="1" ht="22.85" customHeight="1" thickBot="1">
      <c r="A200" s="295">
        <f>A192+1</f>
        <v>44166</v>
      </c>
      <c r="B200" s="293"/>
      <c r="C200" s="294"/>
      <c r="D200" s="293"/>
      <c r="E200" s="294"/>
      <c r="F200" s="293"/>
      <c r="G200" s="294"/>
      <c r="H200" s="312"/>
      <c r="I200" s="313"/>
      <c r="J200" s="293"/>
      <c r="K200" s="294"/>
      <c r="L200" s="293"/>
      <c r="M200" s="294"/>
      <c r="N200" s="288"/>
      <c r="O200" s="205" t="s">
        <v>67</v>
      </c>
      <c r="P200" s="304" t="s">
        <v>68</v>
      </c>
      <c r="Q200" s="305"/>
      <c r="R200" s="306"/>
      <c r="S200" s="307" t="s">
        <v>198</v>
      </c>
      <c r="T200" s="308"/>
      <c r="U200" s="308"/>
      <c r="V200" s="309"/>
    </row>
    <row r="201" spans="1:22" ht="16.899999999999999" customHeight="1">
      <c r="A201" s="280"/>
      <c r="B201" s="17"/>
      <c r="C201" s="14"/>
      <c r="D201" s="30"/>
      <c r="E201" s="29"/>
      <c r="F201" s="152"/>
      <c r="G201" s="134"/>
      <c r="H201" s="152"/>
      <c r="I201" s="134"/>
      <c r="J201" s="129"/>
      <c r="K201" s="16"/>
      <c r="L201" s="115"/>
      <c r="M201" s="14"/>
      <c r="N201" s="289"/>
      <c r="O201" s="18">
        <f>T202</f>
        <v>0</v>
      </c>
      <c r="P201" s="4" t="s">
        <v>15</v>
      </c>
      <c r="Q201" s="5">
        <f>C201/20+C202/20+M201/35+M202/90+I205/55</f>
        <v>0</v>
      </c>
      <c r="R201" s="6" t="s">
        <v>194</v>
      </c>
      <c r="S201" s="65" t="s">
        <v>17</v>
      </c>
      <c r="T201" s="66">
        <f>Q207</f>
        <v>0</v>
      </c>
      <c r="U201" s="67" t="s">
        <v>61</v>
      </c>
      <c r="V201" s="68" t="s">
        <v>168</v>
      </c>
    </row>
    <row r="202" spans="1:22" ht="16.899999999999999" customHeight="1">
      <c r="A202" s="280"/>
      <c r="B202" s="17"/>
      <c r="C202" s="29"/>
      <c r="D202" s="93"/>
      <c r="E202" s="101"/>
      <c r="F202" s="135"/>
      <c r="G202" s="121"/>
      <c r="H202" s="135"/>
      <c r="I202" s="121"/>
      <c r="J202" s="30"/>
      <c r="K202" s="31"/>
      <c r="L202" s="30"/>
      <c r="M202" s="11"/>
      <c r="N202" s="289"/>
      <c r="O202" s="32" t="s">
        <v>185</v>
      </c>
      <c r="P202" s="19" t="s">
        <v>24</v>
      </c>
      <c r="Q202" s="20">
        <f>E201*0.6/40+G203/50+M203/55</f>
        <v>0</v>
      </c>
      <c r="R202" s="21" t="s">
        <v>37</v>
      </c>
      <c r="S202" s="22" t="s">
        <v>80</v>
      </c>
      <c r="T202" s="23">
        <f>Q201*15+Q203*5+Q204*15+Q205*12</f>
        <v>0</v>
      </c>
      <c r="U202" s="21" t="s">
        <v>40</v>
      </c>
      <c r="V202" s="24" t="e">
        <f>T202*4/T201</f>
        <v>#DIV/0!</v>
      </c>
    </row>
    <row r="203" spans="1:22" ht="16.899999999999999" customHeight="1">
      <c r="A203" s="280"/>
      <c r="B203" s="75"/>
      <c r="C203" s="76"/>
      <c r="D203" s="35"/>
      <c r="E203" s="36"/>
      <c r="F203" s="135"/>
      <c r="G203" s="121"/>
      <c r="H203" s="135"/>
      <c r="I203" s="121"/>
      <c r="J203" s="37"/>
      <c r="K203" s="11"/>
      <c r="L203" s="86"/>
      <c r="M203" s="28"/>
      <c r="N203" s="289"/>
      <c r="O203" s="18">
        <f>T203</f>
        <v>0</v>
      </c>
      <c r="P203" s="33" t="s">
        <v>189</v>
      </c>
      <c r="Q203" s="20">
        <f>(G202+G201+I202+G204+I203+I201+K201+M201+E203+M204)/100</f>
        <v>0</v>
      </c>
      <c r="R203" s="21" t="s">
        <v>194</v>
      </c>
      <c r="S203" s="22" t="s">
        <v>87</v>
      </c>
      <c r="T203" s="23">
        <f>Q202*5+Q205*4+Q206*5</f>
        <v>0</v>
      </c>
      <c r="U203" s="21" t="s">
        <v>40</v>
      </c>
      <c r="V203" s="24" t="e">
        <f>T203*9/T201</f>
        <v>#DIV/0!</v>
      </c>
    </row>
    <row r="204" spans="1:22" ht="16.899999999999999" customHeight="1">
      <c r="A204" s="280"/>
      <c r="B204" s="75"/>
      <c r="C204" s="76"/>
      <c r="D204" s="35"/>
      <c r="E204" s="36"/>
      <c r="F204" s="135"/>
      <c r="G204" s="121"/>
      <c r="H204" s="135"/>
      <c r="I204" s="121"/>
      <c r="J204" s="37"/>
      <c r="K204" s="11"/>
      <c r="L204" s="30"/>
      <c r="M204" s="45"/>
      <c r="N204" s="289"/>
      <c r="O204" s="32" t="s">
        <v>46</v>
      </c>
      <c r="P204" s="46" t="s">
        <v>88</v>
      </c>
      <c r="Q204" s="39">
        <v>0</v>
      </c>
      <c r="R204" s="21" t="s">
        <v>194</v>
      </c>
      <c r="S204" s="22" t="s">
        <v>216</v>
      </c>
      <c r="T204" s="23">
        <f>Q201*2+Q202*7+Q203*1+Q205*8</f>
        <v>0</v>
      </c>
      <c r="U204" s="21" t="s">
        <v>187</v>
      </c>
      <c r="V204" s="24" t="e">
        <f>T204*4/T201</f>
        <v>#DIV/0!</v>
      </c>
    </row>
    <row r="205" spans="1:22" ht="16.899999999999999" customHeight="1">
      <c r="A205" s="280" t="s">
        <v>90</v>
      </c>
      <c r="B205" s="75"/>
      <c r="C205" s="76"/>
      <c r="D205" s="27"/>
      <c r="E205" s="28"/>
      <c r="F205" s="49"/>
      <c r="G205" s="29"/>
      <c r="H205" s="49"/>
      <c r="I205" s="29"/>
      <c r="J205" s="37"/>
      <c r="K205" s="11"/>
      <c r="L205" s="37"/>
      <c r="M205" s="29"/>
      <c r="N205" s="289"/>
      <c r="O205" s="18">
        <f>T204</f>
        <v>0</v>
      </c>
      <c r="P205" s="46" t="s">
        <v>47</v>
      </c>
      <c r="Q205" s="39">
        <v>0</v>
      </c>
      <c r="R205" s="21" t="s">
        <v>37</v>
      </c>
      <c r="S205" s="47"/>
      <c r="T205" s="47"/>
      <c r="U205" s="47"/>
      <c r="V205" s="48" t="e">
        <f>SUM(V202:V204)</f>
        <v>#DIV/0!</v>
      </c>
    </row>
    <row r="206" spans="1:22" ht="16.899999999999999" customHeight="1">
      <c r="A206" s="280"/>
      <c r="B206" s="75"/>
      <c r="C206" s="76"/>
      <c r="D206" s="27"/>
      <c r="E206" s="28"/>
      <c r="F206" s="137"/>
      <c r="G206" s="11"/>
      <c r="H206" s="137"/>
      <c r="I206" s="11"/>
      <c r="J206" s="37"/>
      <c r="K206" s="11"/>
      <c r="L206" s="93"/>
      <c r="M206" s="92"/>
      <c r="N206" s="289"/>
      <c r="O206" s="32" t="s">
        <v>93</v>
      </c>
      <c r="P206" s="50" t="s">
        <v>92</v>
      </c>
      <c r="Q206" s="39">
        <v>0</v>
      </c>
      <c r="R206" s="21" t="s">
        <v>37</v>
      </c>
      <c r="S206" s="51"/>
      <c r="T206" s="51"/>
      <c r="U206" s="51"/>
      <c r="V206" s="52"/>
    </row>
    <row r="207" spans="1:22" ht="16.2" customHeight="1" thickBot="1">
      <c r="A207" s="281"/>
      <c r="B207" s="282"/>
      <c r="C207" s="283"/>
      <c r="D207" s="282"/>
      <c r="E207" s="283"/>
      <c r="F207" s="282"/>
      <c r="G207" s="283"/>
      <c r="H207" s="282"/>
      <c r="I207" s="283"/>
      <c r="J207" s="282"/>
      <c r="K207" s="283"/>
      <c r="L207" s="282"/>
      <c r="M207" s="283"/>
      <c r="N207" s="290"/>
      <c r="O207" s="61">
        <f>Q207</f>
        <v>0</v>
      </c>
      <c r="P207" s="56" t="s">
        <v>196</v>
      </c>
      <c r="Q207" s="57">
        <f>Q201*68+Q202*73+Q203*24+Q204*60+Q205*112+Q206*45</f>
        <v>0</v>
      </c>
      <c r="R207" s="58" t="s">
        <v>61</v>
      </c>
      <c r="S207" s="59"/>
      <c r="T207" s="59"/>
      <c r="U207" s="59"/>
      <c r="V207" s="60"/>
    </row>
    <row r="208" spans="1:22" s="206" customFormat="1" ht="22.85" customHeight="1" thickBot="1">
      <c r="A208" s="295">
        <f>A200+1</f>
        <v>44167</v>
      </c>
      <c r="B208" s="293"/>
      <c r="C208" s="294"/>
      <c r="D208" s="293"/>
      <c r="E208" s="294"/>
      <c r="F208" s="296"/>
      <c r="G208" s="297"/>
      <c r="H208" s="296"/>
      <c r="I208" s="297"/>
      <c r="J208" s="293"/>
      <c r="K208" s="294"/>
      <c r="L208" s="296"/>
      <c r="M208" s="297"/>
      <c r="N208" s="288"/>
      <c r="O208" s="205" t="s">
        <v>67</v>
      </c>
      <c r="P208" s="304" t="s">
        <v>68</v>
      </c>
      <c r="Q208" s="305"/>
      <c r="R208" s="306"/>
      <c r="S208" s="307" t="s">
        <v>20</v>
      </c>
      <c r="T208" s="308"/>
      <c r="U208" s="308"/>
      <c r="V208" s="309"/>
    </row>
    <row r="209" spans="1:22" ht="16.899999999999999" customHeight="1">
      <c r="A209" s="280"/>
      <c r="B209" s="81"/>
      <c r="C209" s="82"/>
      <c r="D209" s="44"/>
      <c r="E209" s="45"/>
      <c r="F209" s="30"/>
      <c r="G209" s="16"/>
      <c r="H209" s="30"/>
      <c r="I209" s="29"/>
      <c r="J209" s="129"/>
      <c r="K209" s="16"/>
      <c r="L209" s="115"/>
      <c r="M209" s="14"/>
      <c r="N209" s="289"/>
      <c r="O209" s="18">
        <f>T210</f>
        <v>0</v>
      </c>
      <c r="P209" s="4" t="s">
        <v>15</v>
      </c>
      <c r="Q209" s="5">
        <f>C209/20+C210/20+M209/35+M210/90+I213/55</f>
        <v>0</v>
      </c>
      <c r="R209" s="6" t="s">
        <v>37</v>
      </c>
      <c r="S209" s="65" t="s">
        <v>183</v>
      </c>
      <c r="T209" s="66">
        <f>Q215</f>
        <v>0</v>
      </c>
      <c r="U209" s="67" t="s">
        <v>177</v>
      </c>
      <c r="V209" s="83"/>
    </row>
    <row r="210" spans="1:22" ht="16.899999999999999" customHeight="1">
      <c r="A210" s="280"/>
      <c r="B210" s="75"/>
      <c r="C210" s="76"/>
      <c r="D210" s="44"/>
      <c r="E210" s="45"/>
      <c r="F210" s="30"/>
      <c r="G210" s="11"/>
      <c r="H210" s="116"/>
      <c r="I210" s="117"/>
      <c r="J210" s="30"/>
      <c r="K210" s="11"/>
      <c r="L210" s="30"/>
      <c r="M210" s="11"/>
      <c r="N210" s="289"/>
      <c r="O210" s="32" t="s">
        <v>185</v>
      </c>
      <c r="P210" s="19" t="s">
        <v>24</v>
      </c>
      <c r="Q210" s="20">
        <f>E209/35+G211/50+I209/55+M211*0.6/40</f>
        <v>0</v>
      </c>
      <c r="R210" s="21" t="s">
        <v>194</v>
      </c>
      <c r="S210" s="22" t="s">
        <v>186</v>
      </c>
      <c r="T210" s="23">
        <f>Q209*15+Q211*5+Q212*15+Q213*12</f>
        <v>0</v>
      </c>
      <c r="U210" s="21" t="s">
        <v>187</v>
      </c>
      <c r="V210" s="24" t="e">
        <f>T210*4/T209</f>
        <v>#DIV/0!</v>
      </c>
    </row>
    <row r="211" spans="1:22" ht="16.899999999999999" customHeight="1">
      <c r="A211" s="280"/>
      <c r="B211" s="75"/>
      <c r="C211" s="76"/>
      <c r="D211" s="27"/>
      <c r="E211" s="36"/>
      <c r="F211" s="30"/>
      <c r="G211" s="11"/>
      <c r="H211" s="116"/>
      <c r="I211" s="117"/>
      <c r="J211" s="73"/>
      <c r="K211" s="74"/>
      <c r="L211" s="30"/>
      <c r="M211" s="11"/>
      <c r="N211" s="289"/>
      <c r="O211" s="18">
        <f>T211</f>
        <v>0</v>
      </c>
      <c r="P211" s="33" t="s">
        <v>189</v>
      </c>
      <c r="Q211" s="20">
        <f>(E212+G209+I210+I211+K209+M209+G210+G212+G213+I212+M210)/100</f>
        <v>0</v>
      </c>
      <c r="R211" s="21" t="s">
        <v>37</v>
      </c>
      <c r="S211" s="22" t="s">
        <v>87</v>
      </c>
      <c r="T211" s="23">
        <f>Q210*5+Q213*4+Q214*5</f>
        <v>0</v>
      </c>
      <c r="U211" s="21" t="s">
        <v>40</v>
      </c>
      <c r="V211" s="24" t="e">
        <f>T211*9/T209</f>
        <v>#DIV/0!</v>
      </c>
    </row>
    <row r="212" spans="1:22" ht="16.899999999999999" customHeight="1">
      <c r="A212" s="280"/>
      <c r="B212" s="86"/>
      <c r="C212" s="28"/>
      <c r="D212" s="30"/>
      <c r="E212" s="11"/>
      <c r="F212" s="35"/>
      <c r="G212" s="29"/>
      <c r="H212" s="30"/>
      <c r="I212" s="11"/>
      <c r="J212" s="87"/>
      <c r="K212" s="11"/>
      <c r="L212" s="93"/>
      <c r="M212" s="101"/>
      <c r="N212" s="289"/>
      <c r="O212" s="32" t="s">
        <v>46</v>
      </c>
      <c r="P212" s="46" t="s">
        <v>88</v>
      </c>
      <c r="Q212" s="39">
        <v>0</v>
      </c>
      <c r="R212" s="21" t="s">
        <v>37</v>
      </c>
      <c r="S212" s="22" t="s">
        <v>216</v>
      </c>
      <c r="T212" s="23">
        <f>Q209*2+Q210*7+Q211*1+Q213*8</f>
        <v>0</v>
      </c>
      <c r="U212" s="21" t="s">
        <v>40</v>
      </c>
      <c r="V212" s="24" t="e">
        <f>T212*4/T209</f>
        <v>#DIV/0!</v>
      </c>
    </row>
    <row r="213" spans="1:22" ht="16.899999999999999" customHeight="1">
      <c r="A213" s="280" t="s">
        <v>109</v>
      </c>
      <c r="B213" s="75"/>
      <c r="C213" s="76"/>
      <c r="D213" s="130"/>
      <c r="E213" s="131"/>
      <c r="F213" s="30"/>
      <c r="G213" s="89"/>
      <c r="H213" s="148"/>
      <c r="I213" s="26"/>
      <c r="J213" s="87"/>
      <c r="K213" s="11"/>
      <c r="L213" s="143"/>
      <c r="M213" s="76"/>
      <c r="N213" s="289"/>
      <c r="O213" s="18">
        <f>T212</f>
        <v>0</v>
      </c>
      <c r="P213" s="46" t="s">
        <v>47</v>
      </c>
      <c r="Q213" s="39">
        <v>0</v>
      </c>
      <c r="R213" s="21" t="s">
        <v>37</v>
      </c>
      <c r="S213" s="47"/>
      <c r="T213" s="47"/>
      <c r="U213" s="47"/>
      <c r="V213" s="48" t="e">
        <f>SUM(V210:V212)</f>
        <v>#DIV/0!</v>
      </c>
    </row>
    <row r="214" spans="1:22" ht="16.899999999999999" customHeight="1">
      <c r="A214" s="280"/>
      <c r="B214" s="94"/>
      <c r="C214" s="95"/>
      <c r="D214" s="44"/>
      <c r="E214" s="45"/>
      <c r="F214" s="35"/>
      <c r="H214" s="37"/>
      <c r="I214" s="11"/>
      <c r="J214" s="55"/>
      <c r="K214" s="105"/>
      <c r="L214" s="17"/>
      <c r="M214" s="29"/>
      <c r="N214" s="289"/>
      <c r="O214" s="32" t="s">
        <v>219</v>
      </c>
      <c r="P214" s="50" t="s">
        <v>92</v>
      </c>
      <c r="Q214" s="39">
        <v>0</v>
      </c>
      <c r="R214" s="21" t="s">
        <v>37</v>
      </c>
      <c r="S214" s="51"/>
      <c r="T214" s="51"/>
      <c r="U214" s="51"/>
      <c r="V214" s="52"/>
    </row>
    <row r="215" spans="1:22" ht="16.2" customHeight="1" thickBot="1">
      <c r="A215" s="281"/>
      <c r="B215" s="282"/>
      <c r="C215" s="283"/>
      <c r="D215" s="282"/>
      <c r="E215" s="283"/>
      <c r="F215" s="282"/>
      <c r="G215" s="283"/>
      <c r="H215" s="292"/>
      <c r="I215" s="283"/>
      <c r="J215" s="282"/>
      <c r="K215" s="283"/>
      <c r="L215" s="282"/>
      <c r="M215" s="283"/>
      <c r="N215" s="290"/>
      <c r="O215" s="61">
        <f>Q215</f>
        <v>0</v>
      </c>
      <c r="P215" s="56" t="s">
        <v>54</v>
      </c>
      <c r="Q215" s="57">
        <f>Q209*68+Q210*73+Q211*24+Q212*60+Q213*112+Q214*45</f>
        <v>0</v>
      </c>
      <c r="R215" s="58" t="s">
        <v>61</v>
      </c>
      <c r="S215" s="59"/>
      <c r="T215" s="59"/>
      <c r="U215" s="59"/>
      <c r="V215" s="60"/>
    </row>
    <row r="216" spans="1:22" s="206" customFormat="1" ht="22.85" customHeight="1" thickBot="1">
      <c r="A216" s="295">
        <f>A208+1</f>
        <v>44168</v>
      </c>
      <c r="B216" s="293"/>
      <c r="C216" s="294"/>
      <c r="D216" s="296"/>
      <c r="E216" s="297"/>
      <c r="F216" s="293"/>
      <c r="G216" s="294"/>
      <c r="H216" s="293"/>
      <c r="I216" s="294"/>
      <c r="J216" s="293"/>
      <c r="K216" s="294"/>
      <c r="L216" s="296"/>
      <c r="M216" s="297"/>
      <c r="N216" s="288"/>
      <c r="O216" s="205" t="s">
        <v>251</v>
      </c>
      <c r="P216" s="304" t="s">
        <v>179</v>
      </c>
      <c r="Q216" s="305"/>
      <c r="R216" s="306"/>
      <c r="S216" s="307" t="s">
        <v>198</v>
      </c>
      <c r="T216" s="308"/>
      <c r="U216" s="308"/>
      <c r="V216" s="309"/>
    </row>
    <row r="217" spans="1:22" ht="16.899999999999999" customHeight="1">
      <c r="A217" s="280"/>
      <c r="B217" s="17"/>
      <c r="C217" s="14"/>
      <c r="D217" s="30"/>
      <c r="E217" s="29"/>
      <c r="F217" s="153"/>
      <c r="G217" s="13"/>
      <c r="H217" s="69"/>
      <c r="I217" s="70"/>
      <c r="J217" s="64"/>
      <c r="K217" s="70"/>
      <c r="L217" s="154"/>
      <c r="M217" s="14"/>
      <c r="N217" s="289"/>
      <c r="O217" s="18">
        <f>T218</f>
        <v>0</v>
      </c>
      <c r="P217" s="4" t="s">
        <v>15</v>
      </c>
      <c r="Q217" s="5">
        <f>C217/20+C218/20+M217/35+M218/90+I221/55</f>
        <v>0</v>
      </c>
      <c r="R217" s="6" t="s">
        <v>37</v>
      </c>
      <c r="S217" s="65" t="s">
        <v>17</v>
      </c>
      <c r="T217" s="66">
        <f>Q223</f>
        <v>0</v>
      </c>
      <c r="U217" s="67" t="s">
        <v>61</v>
      </c>
      <c r="V217" s="68" t="s">
        <v>168</v>
      </c>
    </row>
    <row r="218" spans="1:22" ht="16.899999999999999" customHeight="1">
      <c r="A218" s="280"/>
      <c r="B218" s="17"/>
      <c r="C218" s="29"/>
      <c r="D218" s="84"/>
      <c r="E218" s="85"/>
      <c r="F218" s="17"/>
      <c r="G218" s="29"/>
      <c r="H218" s="35"/>
      <c r="I218" s="29"/>
      <c r="J218" s="93"/>
      <c r="K218" s="92"/>
      <c r="L218" s="99"/>
      <c r="M218" s="11"/>
      <c r="N218" s="289"/>
      <c r="O218" s="32" t="s">
        <v>79</v>
      </c>
      <c r="P218" s="19" t="s">
        <v>24</v>
      </c>
      <c r="Q218" s="20">
        <f>E217*0.6/40+G219/35+I218/35+M217/110</f>
        <v>0</v>
      </c>
      <c r="R218" s="21" t="s">
        <v>37</v>
      </c>
      <c r="S218" s="22" t="s">
        <v>80</v>
      </c>
      <c r="T218" s="23">
        <f>Q217*15+Q219*5+Q220*15+Q221*12</f>
        <v>0</v>
      </c>
      <c r="U218" s="21" t="s">
        <v>40</v>
      </c>
      <c r="V218" s="24" t="e">
        <f>T218*4/T217</f>
        <v>#DIV/0!</v>
      </c>
    </row>
    <row r="219" spans="1:22" ht="16.899999999999999" customHeight="1">
      <c r="A219" s="280"/>
      <c r="B219" s="75"/>
      <c r="C219" s="76"/>
      <c r="D219" s="130"/>
      <c r="E219" s="29"/>
      <c r="F219" s="37"/>
      <c r="G219" s="29"/>
      <c r="H219" s="35"/>
      <c r="I219" s="29"/>
      <c r="J219" s="17"/>
      <c r="K219" s="29"/>
      <c r="L219" s="100"/>
      <c r="M219" s="36"/>
      <c r="N219" s="289"/>
      <c r="O219" s="18">
        <f>T219</f>
        <v>0</v>
      </c>
      <c r="P219" s="33" t="s">
        <v>189</v>
      </c>
      <c r="Q219" s="20">
        <f>(G217+G220+I217+I219+I220+I222+M218+M219+M220+K217)/100</f>
        <v>0</v>
      </c>
      <c r="R219" s="21" t="s">
        <v>194</v>
      </c>
      <c r="S219" s="22" t="s">
        <v>238</v>
      </c>
      <c r="T219" s="23">
        <f>Q218*5+Q221*4+Q222*5</f>
        <v>0</v>
      </c>
      <c r="U219" s="21" t="s">
        <v>187</v>
      </c>
      <c r="V219" s="24" t="e">
        <f>T219*9/T217</f>
        <v>#DIV/0!</v>
      </c>
    </row>
    <row r="220" spans="1:22" ht="16.899999999999999" customHeight="1">
      <c r="A220" s="280"/>
      <c r="B220" s="75"/>
      <c r="C220" s="76"/>
      <c r="D220" s="44"/>
      <c r="E220" s="45"/>
      <c r="F220" s="17"/>
      <c r="G220" s="29"/>
      <c r="H220" s="30"/>
      <c r="I220" s="29"/>
      <c r="J220" s="44"/>
      <c r="K220" s="45"/>
      <c r="L220" s="87"/>
      <c r="M220" s="29"/>
      <c r="N220" s="289"/>
      <c r="O220" s="32" t="s">
        <v>192</v>
      </c>
      <c r="P220" s="46" t="s">
        <v>191</v>
      </c>
      <c r="Q220" s="39">
        <v>0</v>
      </c>
      <c r="R220" s="21" t="s">
        <v>194</v>
      </c>
      <c r="S220" s="22" t="s">
        <v>216</v>
      </c>
      <c r="T220" s="23">
        <f>Q217*2+Q218*7+Q219*1+Q221*8</f>
        <v>0</v>
      </c>
      <c r="U220" s="21" t="s">
        <v>187</v>
      </c>
      <c r="V220" s="24" t="e">
        <f>T220*4/T217</f>
        <v>#DIV/0!</v>
      </c>
    </row>
    <row r="221" spans="1:22" ht="16.899999999999999" customHeight="1">
      <c r="A221" s="280" t="s">
        <v>281</v>
      </c>
      <c r="B221" s="75"/>
      <c r="C221" s="76"/>
      <c r="D221" s="44"/>
      <c r="E221" s="45"/>
      <c r="F221" s="35"/>
      <c r="G221" s="29"/>
      <c r="H221" s="27"/>
      <c r="I221" s="11"/>
      <c r="J221" s="27"/>
      <c r="K221" s="125"/>
      <c r="L221" s="87"/>
      <c r="M221" s="29"/>
      <c r="N221" s="289"/>
      <c r="O221" s="18">
        <f>T220</f>
        <v>0</v>
      </c>
      <c r="P221" s="46" t="s">
        <v>47</v>
      </c>
      <c r="Q221" s="39">
        <v>0</v>
      </c>
      <c r="R221" s="21" t="s">
        <v>194</v>
      </c>
      <c r="S221" s="47"/>
      <c r="T221" s="47"/>
      <c r="U221" s="47"/>
      <c r="V221" s="48" t="e">
        <f>SUM(V218:V220)</f>
        <v>#DIV/0!</v>
      </c>
    </row>
    <row r="222" spans="1:22" ht="16.899999999999999" customHeight="1">
      <c r="A222" s="280"/>
      <c r="B222" s="75"/>
      <c r="C222" s="76"/>
      <c r="D222" s="30"/>
      <c r="E222" s="155"/>
      <c r="F222" s="44"/>
      <c r="G222" s="45"/>
      <c r="H222" s="27"/>
      <c r="I222" s="11"/>
      <c r="J222" s="27"/>
      <c r="K222" s="125"/>
      <c r="L222" s="91"/>
      <c r="M222" s="102"/>
      <c r="N222" s="289"/>
      <c r="O222" s="32" t="s">
        <v>219</v>
      </c>
      <c r="P222" s="50" t="s">
        <v>220</v>
      </c>
      <c r="Q222" s="39">
        <v>0</v>
      </c>
      <c r="R222" s="21" t="s">
        <v>194</v>
      </c>
      <c r="S222" s="51"/>
      <c r="T222" s="51"/>
      <c r="U222" s="51"/>
      <c r="V222" s="52"/>
    </row>
    <row r="223" spans="1:22" ht="16.2" customHeight="1" thickBot="1">
      <c r="A223" s="281"/>
      <c r="B223" s="282"/>
      <c r="C223" s="283"/>
      <c r="D223" s="282"/>
      <c r="E223" s="283"/>
      <c r="F223" s="282"/>
      <c r="G223" s="283"/>
      <c r="H223" s="282"/>
      <c r="I223" s="283"/>
      <c r="J223" s="282"/>
      <c r="K223" s="283"/>
      <c r="L223" s="282"/>
      <c r="M223" s="283"/>
      <c r="N223" s="290"/>
      <c r="O223" s="61">
        <f>Q223</f>
        <v>0</v>
      </c>
      <c r="P223" s="56" t="s">
        <v>196</v>
      </c>
      <c r="Q223" s="57">
        <f>Q217*68+Q218*73+Q219*24+Q220*60+Q221*112+Q222*45</f>
        <v>0</v>
      </c>
      <c r="R223" s="58" t="s">
        <v>132</v>
      </c>
      <c r="S223" s="59"/>
      <c r="T223" s="59"/>
      <c r="U223" s="59"/>
      <c r="V223" s="60"/>
    </row>
    <row r="224" spans="1:22" s="206" customFormat="1" ht="22.85" customHeight="1" thickBot="1">
      <c r="A224" s="295">
        <f>A216+1</f>
        <v>44169</v>
      </c>
      <c r="B224" s="293"/>
      <c r="C224" s="294"/>
      <c r="D224" s="293"/>
      <c r="E224" s="294"/>
      <c r="F224" s="293"/>
      <c r="G224" s="294"/>
      <c r="H224" s="326"/>
      <c r="I224" s="297"/>
      <c r="J224" s="293"/>
      <c r="K224" s="294"/>
      <c r="L224" s="296"/>
      <c r="M224" s="297"/>
      <c r="N224" s="288"/>
      <c r="O224" s="205" t="s">
        <v>251</v>
      </c>
      <c r="P224" s="304" t="s">
        <v>179</v>
      </c>
      <c r="Q224" s="305"/>
      <c r="R224" s="306"/>
      <c r="S224" s="307" t="s">
        <v>198</v>
      </c>
      <c r="T224" s="308"/>
      <c r="U224" s="308"/>
      <c r="V224" s="309"/>
    </row>
    <row r="225" spans="1:22" ht="16.899999999999999" customHeight="1">
      <c r="A225" s="280"/>
      <c r="B225" s="104"/>
      <c r="C225" s="14"/>
      <c r="D225" s="30"/>
      <c r="E225" s="31"/>
      <c r="F225" s="153"/>
      <c r="G225" s="13"/>
      <c r="H225" s="129"/>
      <c r="I225" s="147"/>
      <c r="J225" s="123"/>
      <c r="K225" s="13"/>
      <c r="L225" s="156"/>
      <c r="M225" s="80"/>
      <c r="N225" s="289"/>
      <c r="O225" s="18">
        <f>T226</f>
        <v>0</v>
      </c>
      <c r="P225" s="4" t="s">
        <v>15</v>
      </c>
      <c r="Q225" s="5">
        <f>C225/20+C226/20+M225/35+M226/90+I229/55</f>
        <v>0</v>
      </c>
      <c r="R225" s="6" t="s">
        <v>37</v>
      </c>
      <c r="S225" s="65" t="s">
        <v>183</v>
      </c>
      <c r="T225" s="66">
        <f>Q231</f>
        <v>0</v>
      </c>
      <c r="U225" s="67" t="s">
        <v>177</v>
      </c>
      <c r="V225" s="83"/>
    </row>
    <row r="226" spans="1:22" ht="16.899999999999999" customHeight="1">
      <c r="A226" s="280"/>
      <c r="B226" s="17"/>
      <c r="C226" s="29"/>
      <c r="D226" s="84"/>
      <c r="E226" s="85"/>
      <c r="F226" s="17"/>
      <c r="G226" s="29"/>
      <c r="H226" s="69"/>
      <c r="I226" s="147"/>
      <c r="J226" s="35"/>
      <c r="K226" s="29"/>
      <c r="L226" s="86"/>
      <c r="M226" s="28"/>
      <c r="N226" s="289"/>
      <c r="O226" s="32" t="s">
        <v>292</v>
      </c>
      <c r="P226" s="19" t="s">
        <v>24</v>
      </c>
      <c r="Q226" s="20">
        <f>E225/35+G228/40+G229/2/35+I228/35+M225/80</f>
        <v>0</v>
      </c>
      <c r="R226" s="21" t="s">
        <v>194</v>
      </c>
      <c r="S226" s="22" t="s">
        <v>186</v>
      </c>
      <c r="T226" s="23">
        <f>Q225*15+Q227*5+Q228*15+Q229*12</f>
        <v>0</v>
      </c>
      <c r="U226" s="21" t="s">
        <v>40</v>
      </c>
      <c r="V226" s="24" t="e">
        <f>T226*4/T225</f>
        <v>#DIV/0!</v>
      </c>
    </row>
    <row r="227" spans="1:22" ht="16.899999999999999" customHeight="1">
      <c r="A227" s="280"/>
      <c r="B227" s="30"/>
      <c r="C227" s="95"/>
      <c r="D227" s="49"/>
      <c r="E227" s="36"/>
      <c r="F227" s="37"/>
      <c r="G227" s="29"/>
      <c r="H227" s="132"/>
      <c r="I227" s="147"/>
      <c r="J227" s="35"/>
      <c r="K227" s="29"/>
      <c r="L227" s="87"/>
      <c r="M227" s="11"/>
      <c r="N227" s="289"/>
      <c r="O227" s="18">
        <f>T227</f>
        <v>0</v>
      </c>
      <c r="P227" s="33" t="s">
        <v>189</v>
      </c>
      <c r="Q227" s="20">
        <f>(E227+G225+G226+G227+I225+I226+I227+K225+M226+M227+M228)/100</f>
        <v>0</v>
      </c>
      <c r="R227" s="21" t="s">
        <v>37</v>
      </c>
      <c r="S227" s="22" t="s">
        <v>87</v>
      </c>
      <c r="T227" s="23">
        <f>Q226*5+Q229*4+Q230*5</f>
        <v>0</v>
      </c>
      <c r="U227" s="21" t="s">
        <v>187</v>
      </c>
      <c r="V227" s="24" t="e">
        <f>T227*9/T225</f>
        <v>#DIV/0!</v>
      </c>
    </row>
    <row r="228" spans="1:22" ht="16.899999999999999" customHeight="1">
      <c r="A228" s="280"/>
      <c r="B228" s="35"/>
      <c r="C228" s="105"/>
      <c r="D228" s="100"/>
      <c r="E228" s="36"/>
      <c r="F228" s="69"/>
      <c r="G228" s="11"/>
      <c r="H228" s="69"/>
      <c r="I228" s="11"/>
      <c r="J228" s="17"/>
      <c r="K228" s="29"/>
      <c r="L228" s="86"/>
      <c r="M228" s="28"/>
      <c r="N228" s="289"/>
      <c r="O228" s="32" t="s">
        <v>192</v>
      </c>
      <c r="P228" s="46" t="s">
        <v>88</v>
      </c>
      <c r="Q228" s="39">
        <v>0</v>
      </c>
      <c r="R228" s="21" t="s">
        <v>194</v>
      </c>
      <c r="S228" s="22" t="s">
        <v>216</v>
      </c>
      <c r="T228" s="23">
        <f>Q225*2+Q226*7+Q227*1+Q229*8</f>
        <v>0</v>
      </c>
      <c r="U228" s="21" t="s">
        <v>187</v>
      </c>
      <c r="V228" s="24" t="e">
        <f>T228*4/T225</f>
        <v>#DIV/0!</v>
      </c>
    </row>
    <row r="229" spans="1:22" ht="16.899999999999999" customHeight="1">
      <c r="A229" s="280" t="s">
        <v>217</v>
      </c>
      <c r="B229" s="35"/>
      <c r="C229" s="105"/>
      <c r="D229" s="30"/>
      <c r="E229" s="155"/>
      <c r="F229" s="69"/>
      <c r="G229" s="29"/>
      <c r="H229" s="69"/>
      <c r="I229" s="29"/>
      <c r="J229" s="17"/>
      <c r="K229" s="29"/>
      <c r="L229" s="91"/>
      <c r="M229" s="92"/>
      <c r="N229" s="289"/>
      <c r="O229" s="18">
        <f>T228</f>
        <v>0</v>
      </c>
      <c r="P229" s="46" t="s">
        <v>47</v>
      </c>
      <c r="Q229" s="39">
        <v>0</v>
      </c>
      <c r="R229" s="21" t="s">
        <v>194</v>
      </c>
      <c r="S229" s="47"/>
      <c r="T229" s="47"/>
      <c r="U229" s="47"/>
      <c r="V229" s="48" t="e">
        <f>SUM(V226:V228)</f>
        <v>#DIV/0!</v>
      </c>
    </row>
    <row r="230" spans="1:22" ht="16.899999999999999" customHeight="1">
      <c r="A230" s="280"/>
      <c r="B230" s="35"/>
      <c r="C230" s="105"/>
      <c r="D230" s="30"/>
      <c r="E230" s="155"/>
      <c r="F230" s="44"/>
      <c r="G230" s="45"/>
      <c r="H230" s="100"/>
      <c r="I230" s="36"/>
      <c r="J230" s="94"/>
      <c r="K230" s="95"/>
      <c r="L230" s="93"/>
      <c r="M230" s="92"/>
      <c r="N230" s="289"/>
      <c r="O230" s="32" t="s">
        <v>219</v>
      </c>
      <c r="P230" s="50" t="s">
        <v>92</v>
      </c>
      <c r="Q230" s="39">
        <v>0</v>
      </c>
      <c r="R230" s="21" t="s">
        <v>126</v>
      </c>
      <c r="S230" s="51"/>
      <c r="T230" s="51"/>
      <c r="U230" s="51"/>
      <c r="V230" s="52"/>
    </row>
    <row r="231" spans="1:22" ht="16.649999999999999" thickBot="1">
      <c r="A231" s="281"/>
      <c r="B231" s="282"/>
      <c r="C231" s="283"/>
      <c r="D231" s="282"/>
      <c r="E231" s="283"/>
      <c r="F231" s="282"/>
      <c r="G231" s="283"/>
      <c r="H231" s="292"/>
      <c r="I231" s="283"/>
      <c r="J231" s="282"/>
      <c r="K231" s="283"/>
      <c r="L231" s="282"/>
      <c r="M231" s="283"/>
      <c r="N231" s="290"/>
      <c r="O231" s="61">
        <f>Q231</f>
        <v>0</v>
      </c>
      <c r="P231" s="56" t="s">
        <v>196</v>
      </c>
      <c r="Q231" s="57">
        <f>Q225*68+Q226*73+Q227*24+Q228*60+Q229*112+Q230*45</f>
        <v>0</v>
      </c>
      <c r="R231" s="58" t="s">
        <v>177</v>
      </c>
      <c r="S231" s="59"/>
      <c r="T231" s="59"/>
      <c r="U231" s="59"/>
      <c r="V231" s="60"/>
    </row>
    <row r="232" spans="1:22" ht="15.65" customHeight="1">
      <c r="A232" s="180"/>
      <c r="B232" s="200"/>
      <c r="C232" s="278" t="s">
        <v>366</v>
      </c>
      <c r="D232" s="278"/>
      <c r="E232" s="180"/>
      <c r="F232" s="184"/>
      <c r="G232" s="180" t="s">
        <v>367</v>
      </c>
      <c r="H232" s="180"/>
      <c r="I232" s="180"/>
      <c r="J232" s="204"/>
      <c r="K232" s="278" t="s">
        <v>368</v>
      </c>
      <c r="L232" s="278"/>
      <c r="M232" s="180"/>
      <c r="N232" s="180"/>
      <c r="O232" s="180"/>
    </row>
    <row r="233" spans="1:22" ht="16.2" customHeight="1">
      <c r="A233" s="276" t="s">
        <v>317</v>
      </c>
      <c r="B233" s="276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</row>
    <row r="234" spans="1:22" ht="16.2" customHeight="1">
      <c r="A234" s="277" t="s">
        <v>318</v>
      </c>
      <c r="B234" s="277"/>
      <c r="C234" s="277"/>
      <c r="D234" s="277"/>
      <c r="E234" s="277"/>
      <c r="F234" s="277"/>
      <c r="G234" s="277"/>
      <c r="H234" s="277"/>
      <c r="I234" s="277"/>
      <c r="J234" s="277"/>
      <c r="K234" s="277"/>
      <c r="L234" s="277"/>
      <c r="M234" s="277"/>
      <c r="N234" s="277"/>
      <c r="O234" s="277"/>
    </row>
    <row r="235" spans="1:22" ht="16.2" customHeight="1">
      <c r="A235" s="276" t="s">
        <v>315</v>
      </c>
      <c r="B235" s="276"/>
      <c r="C235" s="276"/>
      <c r="D235" s="276"/>
      <c r="E235" s="276"/>
      <c r="F235" s="276"/>
      <c r="G235" s="276"/>
      <c r="H235" s="276"/>
      <c r="I235" s="276"/>
      <c r="J235" s="276"/>
      <c r="K235" s="276"/>
      <c r="L235" s="276"/>
      <c r="M235" s="276"/>
      <c r="N235" s="191"/>
      <c r="O235" s="183"/>
    </row>
    <row r="236" spans="1:22" ht="16.2" customHeight="1">
      <c r="A236" s="276" t="s">
        <v>316</v>
      </c>
      <c r="B236" s="276"/>
      <c r="C236" s="276"/>
      <c r="D236" s="276"/>
      <c r="E236" s="276"/>
      <c r="F236" s="276"/>
      <c r="G236" s="276"/>
      <c r="H236" s="276"/>
      <c r="I236" s="276"/>
      <c r="J236" s="276"/>
      <c r="K236" s="276"/>
      <c r="L236" s="276"/>
      <c r="M236" s="276"/>
      <c r="N236" s="191"/>
      <c r="O236" s="183"/>
    </row>
  </sheetData>
  <mergeCells count="473">
    <mergeCell ref="K138:L138"/>
    <mergeCell ref="K185:L185"/>
    <mergeCell ref="K232:L232"/>
    <mergeCell ref="A48:O48"/>
    <mergeCell ref="B18:C18"/>
    <mergeCell ref="B19:C19"/>
    <mergeCell ref="B26:C26"/>
    <mergeCell ref="B27:C27"/>
    <mergeCell ref="B34:C34"/>
    <mergeCell ref="B35:C35"/>
    <mergeCell ref="B51:C51"/>
    <mergeCell ref="B58:C58"/>
    <mergeCell ref="A192:A196"/>
    <mergeCell ref="D192:E192"/>
    <mergeCell ref="F192:G192"/>
    <mergeCell ref="H192:I192"/>
    <mergeCell ref="J192:K192"/>
    <mergeCell ref="L192:M192"/>
    <mergeCell ref="A188:M188"/>
    <mergeCell ref="A189:M189"/>
    <mergeCell ref="L38:M38"/>
    <mergeCell ref="F168:G168"/>
    <mergeCell ref="H168:I168"/>
    <mergeCell ref="J168:K168"/>
    <mergeCell ref="A235:M235"/>
    <mergeCell ref="A236:M236"/>
    <mergeCell ref="P224:R224"/>
    <mergeCell ref="B224:C224"/>
    <mergeCell ref="B231:C231"/>
    <mergeCell ref="A229:A231"/>
    <mergeCell ref="D231:E231"/>
    <mergeCell ref="F231:G231"/>
    <mergeCell ref="H231:I231"/>
    <mergeCell ref="J231:K231"/>
    <mergeCell ref="L231:M231"/>
    <mergeCell ref="A224:A228"/>
    <mergeCell ref="D224:E224"/>
    <mergeCell ref="F224:G224"/>
    <mergeCell ref="H224:I224"/>
    <mergeCell ref="J224:K224"/>
    <mergeCell ref="L224:M224"/>
    <mergeCell ref="A233:O233"/>
    <mergeCell ref="A234:O234"/>
    <mergeCell ref="C232:D232"/>
    <mergeCell ref="S216:V216"/>
    <mergeCell ref="A221:A223"/>
    <mergeCell ref="D223:E223"/>
    <mergeCell ref="F223:G223"/>
    <mergeCell ref="H223:I223"/>
    <mergeCell ref="J223:K223"/>
    <mergeCell ref="L223:M223"/>
    <mergeCell ref="S224:V224"/>
    <mergeCell ref="B216:C216"/>
    <mergeCell ref="B223:C223"/>
    <mergeCell ref="A216:A220"/>
    <mergeCell ref="D216:E216"/>
    <mergeCell ref="F216:G216"/>
    <mergeCell ref="H216:I216"/>
    <mergeCell ref="J216:K216"/>
    <mergeCell ref="L216:M216"/>
    <mergeCell ref="N216:N223"/>
    <mergeCell ref="N224:N231"/>
    <mergeCell ref="P216:R216"/>
    <mergeCell ref="P208:R208"/>
    <mergeCell ref="S208:V208"/>
    <mergeCell ref="A213:A215"/>
    <mergeCell ref="D215:E215"/>
    <mergeCell ref="F215:G215"/>
    <mergeCell ref="H215:I215"/>
    <mergeCell ref="J215:K215"/>
    <mergeCell ref="A208:A212"/>
    <mergeCell ref="D208:E208"/>
    <mergeCell ref="F208:G208"/>
    <mergeCell ref="H208:I208"/>
    <mergeCell ref="J208:K208"/>
    <mergeCell ref="L208:M208"/>
    <mergeCell ref="L215:M215"/>
    <mergeCell ref="B208:C208"/>
    <mergeCell ref="B215:C215"/>
    <mergeCell ref="N208:N215"/>
    <mergeCell ref="P200:R200"/>
    <mergeCell ref="S200:V200"/>
    <mergeCell ref="A205:A207"/>
    <mergeCell ref="D207:E207"/>
    <mergeCell ref="F207:G207"/>
    <mergeCell ref="H207:I207"/>
    <mergeCell ref="J207:K207"/>
    <mergeCell ref="L207:M207"/>
    <mergeCell ref="B200:C200"/>
    <mergeCell ref="B207:C207"/>
    <mergeCell ref="A200:A204"/>
    <mergeCell ref="D200:E200"/>
    <mergeCell ref="F200:G200"/>
    <mergeCell ref="H200:I200"/>
    <mergeCell ref="J200:K200"/>
    <mergeCell ref="L200:M200"/>
    <mergeCell ref="N200:N207"/>
    <mergeCell ref="P192:R192"/>
    <mergeCell ref="S192:V192"/>
    <mergeCell ref="N192:N199"/>
    <mergeCell ref="A197:A199"/>
    <mergeCell ref="D199:E199"/>
    <mergeCell ref="F199:G199"/>
    <mergeCell ref="H199:I199"/>
    <mergeCell ref="J199:K199"/>
    <mergeCell ref="L199:M199"/>
    <mergeCell ref="B192:C192"/>
    <mergeCell ref="B199:C199"/>
    <mergeCell ref="P177:R177"/>
    <mergeCell ref="A190:M190"/>
    <mergeCell ref="B177:C177"/>
    <mergeCell ref="B184:C184"/>
    <mergeCell ref="A186:O186"/>
    <mergeCell ref="A187:O187"/>
    <mergeCell ref="P191:V191"/>
    <mergeCell ref="S177:V177"/>
    <mergeCell ref="A182:A184"/>
    <mergeCell ref="D184:E184"/>
    <mergeCell ref="F184:G184"/>
    <mergeCell ref="H184:I184"/>
    <mergeCell ref="J184:K184"/>
    <mergeCell ref="L184:M184"/>
    <mergeCell ref="A177:A181"/>
    <mergeCell ref="D177:E177"/>
    <mergeCell ref="F177:G177"/>
    <mergeCell ref="H177:I177"/>
    <mergeCell ref="J177:K177"/>
    <mergeCell ref="L177:M177"/>
    <mergeCell ref="N177:N184"/>
    <mergeCell ref="P169:R169"/>
    <mergeCell ref="S169:V169"/>
    <mergeCell ref="A174:A176"/>
    <mergeCell ref="D176:E176"/>
    <mergeCell ref="F176:G176"/>
    <mergeCell ref="H176:I176"/>
    <mergeCell ref="J176:K176"/>
    <mergeCell ref="L176:M176"/>
    <mergeCell ref="B169:C169"/>
    <mergeCell ref="B176:C176"/>
    <mergeCell ref="A169:A173"/>
    <mergeCell ref="D169:E169"/>
    <mergeCell ref="F169:G169"/>
    <mergeCell ref="H169:I169"/>
    <mergeCell ref="J169:K169"/>
    <mergeCell ref="L169:M169"/>
    <mergeCell ref="N169:N176"/>
    <mergeCell ref="L168:M168"/>
    <mergeCell ref="B168:C168"/>
    <mergeCell ref="P161:R161"/>
    <mergeCell ref="S161:V161"/>
    <mergeCell ref="A161:A165"/>
    <mergeCell ref="D161:E161"/>
    <mergeCell ref="F161:G161"/>
    <mergeCell ref="H161:I161"/>
    <mergeCell ref="J161:K161"/>
    <mergeCell ref="L161:M161"/>
    <mergeCell ref="B161:C161"/>
    <mergeCell ref="N161:N168"/>
    <mergeCell ref="A166:A168"/>
    <mergeCell ref="D168:E168"/>
    <mergeCell ref="B152:C152"/>
    <mergeCell ref="P153:R153"/>
    <mergeCell ref="S153:V153"/>
    <mergeCell ref="A158:A160"/>
    <mergeCell ref="D160:E160"/>
    <mergeCell ref="F160:G160"/>
    <mergeCell ref="H160:I160"/>
    <mergeCell ref="J160:K160"/>
    <mergeCell ref="L160:M160"/>
    <mergeCell ref="B153:C153"/>
    <mergeCell ref="B160:C160"/>
    <mergeCell ref="A153:A157"/>
    <mergeCell ref="D153:E153"/>
    <mergeCell ref="F153:G153"/>
    <mergeCell ref="H153:I153"/>
    <mergeCell ref="J153:K153"/>
    <mergeCell ref="L153:M153"/>
    <mergeCell ref="N153:N160"/>
    <mergeCell ref="A141:M141"/>
    <mergeCell ref="A142:M142"/>
    <mergeCell ref="P130:R130"/>
    <mergeCell ref="A143:M143"/>
    <mergeCell ref="B130:C130"/>
    <mergeCell ref="B137:C137"/>
    <mergeCell ref="N130:N137"/>
    <mergeCell ref="P144:V144"/>
    <mergeCell ref="A145:A149"/>
    <mergeCell ref="D145:E145"/>
    <mergeCell ref="F145:G145"/>
    <mergeCell ref="H145:I145"/>
    <mergeCell ref="J145:K145"/>
    <mergeCell ref="L145:M145"/>
    <mergeCell ref="P145:R145"/>
    <mergeCell ref="S145:V145"/>
    <mergeCell ref="N145:N152"/>
    <mergeCell ref="A150:A152"/>
    <mergeCell ref="D152:E152"/>
    <mergeCell ref="F152:G152"/>
    <mergeCell ref="H152:I152"/>
    <mergeCell ref="J152:K152"/>
    <mergeCell ref="L152:M152"/>
    <mergeCell ref="B145:C145"/>
    <mergeCell ref="A127:A129"/>
    <mergeCell ref="D129:E129"/>
    <mergeCell ref="F129:G129"/>
    <mergeCell ref="H129:I129"/>
    <mergeCell ref="J129:K129"/>
    <mergeCell ref="L129:M129"/>
    <mergeCell ref="S130:V130"/>
    <mergeCell ref="A135:A137"/>
    <mergeCell ref="D137:E137"/>
    <mergeCell ref="F137:G137"/>
    <mergeCell ref="H137:I137"/>
    <mergeCell ref="J137:K137"/>
    <mergeCell ref="L137:M137"/>
    <mergeCell ref="A130:A134"/>
    <mergeCell ref="D130:E130"/>
    <mergeCell ref="F130:G130"/>
    <mergeCell ref="H130:I130"/>
    <mergeCell ref="J130:K130"/>
    <mergeCell ref="L130:M130"/>
    <mergeCell ref="B129:C129"/>
    <mergeCell ref="N122:N129"/>
    <mergeCell ref="P122:R122"/>
    <mergeCell ref="S122:V122"/>
    <mergeCell ref="A122:A126"/>
    <mergeCell ref="D122:E122"/>
    <mergeCell ref="F122:G122"/>
    <mergeCell ref="H122:I122"/>
    <mergeCell ref="J122:K122"/>
    <mergeCell ref="L122:M122"/>
    <mergeCell ref="J114:K114"/>
    <mergeCell ref="L114:M114"/>
    <mergeCell ref="B114:C114"/>
    <mergeCell ref="B121:C121"/>
    <mergeCell ref="B122:C122"/>
    <mergeCell ref="F114:G114"/>
    <mergeCell ref="H114:I114"/>
    <mergeCell ref="F121:G121"/>
    <mergeCell ref="H121:I121"/>
    <mergeCell ref="P114:R114"/>
    <mergeCell ref="P106:R106"/>
    <mergeCell ref="S106:V106"/>
    <mergeCell ref="A111:A113"/>
    <mergeCell ref="D113:E113"/>
    <mergeCell ref="F113:G113"/>
    <mergeCell ref="H113:I113"/>
    <mergeCell ref="J113:K113"/>
    <mergeCell ref="A106:A110"/>
    <mergeCell ref="D106:E106"/>
    <mergeCell ref="F106:G106"/>
    <mergeCell ref="H106:I106"/>
    <mergeCell ref="J106:K106"/>
    <mergeCell ref="L106:M106"/>
    <mergeCell ref="L113:M113"/>
    <mergeCell ref="B106:C106"/>
    <mergeCell ref="B113:C113"/>
    <mergeCell ref="N106:N113"/>
    <mergeCell ref="N114:N121"/>
    <mergeCell ref="S114:V114"/>
    <mergeCell ref="A119:A121"/>
    <mergeCell ref="D121:E121"/>
    <mergeCell ref="J121:K121"/>
    <mergeCell ref="L121:M121"/>
    <mergeCell ref="P97:V97"/>
    <mergeCell ref="A98:A102"/>
    <mergeCell ref="D98:E98"/>
    <mergeCell ref="H98:I98"/>
    <mergeCell ref="J98:K98"/>
    <mergeCell ref="L98:M98"/>
    <mergeCell ref="P98:R98"/>
    <mergeCell ref="S98:V98"/>
    <mergeCell ref="N98:N105"/>
    <mergeCell ref="A103:A105"/>
    <mergeCell ref="D105:E105"/>
    <mergeCell ref="H105:I105"/>
    <mergeCell ref="J105:K105"/>
    <mergeCell ref="L105:M105"/>
    <mergeCell ref="B98:C98"/>
    <mergeCell ref="B105:C105"/>
    <mergeCell ref="F98:G98"/>
    <mergeCell ref="F105:G105"/>
    <mergeCell ref="A114:A118"/>
    <mergeCell ref="D114:E114"/>
    <mergeCell ref="A94:M94"/>
    <mergeCell ref="A95:M95"/>
    <mergeCell ref="A96:M96"/>
    <mergeCell ref="P83:R83"/>
    <mergeCell ref="S83:V83"/>
    <mergeCell ref="A88:A90"/>
    <mergeCell ref="D90:E90"/>
    <mergeCell ref="F90:G90"/>
    <mergeCell ref="H90:I90"/>
    <mergeCell ref="J90:K90"/>
    <mergeCell ref="L90:M90"/>
    <mergeCell ref="B83:C83"/>
    <mergeCell ref="B90:C90"/>
    <mergeCell ref="K91:L91"/>
    <mergeCell ref="A83:A87"/>
    <mergeCell ref="D83:E83"/>
    <mergeCell ref="F83:G83"/>
    <mergeCell ref="H83:I83"/>
    <mergeCell ref="J83:K83"/>
    <mergeCell ref="L83:M83"/>
    <mergeCell ref="A92:O92"/>
    <mergeCell ref="A93:O93"/>
    <mergeCell ref="P75:R75"/>
    <mergeCell ref="S75:V75"/>
    <mergeCell ref="A75:A79"/>
    <mergeCell ref="D75:E75"/>
    <mergeCell ref="F75:G75"/>
    <mergeCell ref="H75:I75"/>
    <mergeCell ref="J75:K75"/>
    <mergeCell ref="L75:M75"/>
    <mergeCell ref="N75:N82"/>
    <mergeCell ref="B75:C75"/>
    <mergeCell ref="D79:E79"/>
    <mergeCell ref="D80:E81"/>
    <mergeCell ref="P67:R67"/>
    <mergeCell ref="S67:V67"/>
    <mergeCell ref="A72:A74"/>
    <mergeCell ref="D74:E74"/>
    <mergeCell ref="F74:G74"/>
    <mergeCell ref="H74:I74"/>
    <mergeCell ref="J74:K74"/>
    <mergeCell ref="L74:M74"/>
    <mergeCell ref="A67:A71"/>
    <mergeCell ref="D67:E67"/>
    <mergeCell ref="F67:G67"/>
    <mergeCell ref="H67:I67"/>
    <mergeCell ref="J67:K67"/>
    <mergeCell ref="L67:M67"/>
    <mergeCell ref="B67:C67"/>
    <mergeCell ref="B74:C74"/>
    <mergeCell ref="P59:R59"/>
    <mergeCell ref="S59:V59"/>
    <mergeCell ref="A64:A66"/>
    <mergeCell ref="D66:E66"/>
    <mergeCell ref="F66:G66"/>
    <mergeCell ref="H66:I66"/>
    <mergeCell ref="J66:K66"/>
    <mergeCell ref="L66:M66"/>
    <mergeCell ref="A59:A63"/>
    <mergeCell ref="D59:E59"/>
    <mergeCell ref="F59:G59"/>
    <mergeCell ref="H59:I59"/>
    <mergeCell ref="J59:K59"/>
    <mergeCell ref="L59:M59"/>
    <mergeCell ref="B59:C59"/>
    <mergeCell ref="B66:C66"/>
    <mergeCell ref="A40:A43"/>
    <mergeCell ref="D43:E43"/>
    <mergeCell ref="F43:G43"/>
    <mergeCell ref="H43:I43"/>
    <mergeCell ref="J43:K43"/>
    <mergeCell ref="L43:M43"/>
    <mergeCell ref="P50:V50"/>
    <mergeCell ref="A51:A55"/>
    <mergeCell ref="D51:E51"/>
    <mergeCell ref="F51:G51"/>
    <mergeCell ref="H51:I51"/>
    <mergeCell ref="J51:K51"/>
    <mergeCell ref="L51:M51"/>
    <mergeCell ref="P51:R51"/>
    <mergeCell ref="S51:V51"/>
    <mergeCell ref="K44:L44"/>
    <mergeCell ref="L40:M40"/>
    <mergeCell ref="J26:K26"/>
    <mergeCell ref="L26:M26"/>
    <mergeCell ref="P27:R27"/>
    <mergeCell ref="S27:V27"/>
    <mergeCell ref="A35:A39"/>
    <mergeCell ref="D35:E35"/>
    <mergeCell ref="F35:G35"/>
    <mergeCell ref="H35:I35"/>
    <mergeCell ref="J35:K35"/>
    <mergeCell ref="L35:M35"/>
    <mergeCell ref="A32:A34"/>
    <mergeCell ref="D34:E34"/>
    <mergeCell ref="F34:G34"/>
    <mergeCell ref="H34:I34"/>
    <mergeCell ref="J34:K34"/>
    <mergeCell ref="L34:M34"/>
    <mergeCell ref="S35:V35"/>
    <mergeCell ref="P35:R35"/>
    <mergeCell ref="J37:K37"/>
    <mergeCell ref="J38:K38"/>
    <mergeCell ref="L39:M39"/>
    <mergeCell ref="B37:C37"/>
    <mergeCell ref="B38:C38"/>
    <mergeCell ref="P11:R11"/>
    <mergeCell ref="S11:V11"/>
    <mergeCell ref="B3:C3"/>
    <mergeCell ref="B10:C10"/>
    <mergeCell ref="B11:C11"/>
    <mergeCell ref="A19:A23"/>
    <mergeCell ref="D19:E19"/>
    <mergeCell ref="F19:G19"/>
    <mergeCell ref="H19:I19"/>
    <mergeCell ref="J19:K19"/>
    <mergeCell ref="L19:M19"/>
    <mergeCell ref="A16:A18"/>
    <mergeCell ref="D18:E18"/>
    <mergeCell ref="F18:G18"/>
    <mergeCell ref="H18:I18"/>
    <mergeCell ref="J18:K18"/>
    <mergeCell ref="L18:M18"/>
    <mergeCell ref="P19:R19"/>
    <mergeCell ref="S19:V19"/>
    <mergeCell ref="A11:A15"/>
    <mergeCell ref="D11:E11"/>
    <mergeCell ref="F11:G11"/>
    <mergeCell ref="H11:I11"/>
    <mergeCell ref="J11:K11"/>
    <mergeCell ref="A1:M1"/>
    <mergeCell ref="P2:V2"/>
    <mergeCell ref="A3:A7"/>
    <mergeCell ref="D3:E3"/>
    <mergeCell ref="F3:G3"/>
    <mergeCell ref="H3:I3"/>
    <mergeCell ref="J3:K3"/>
    <mergeCell ref="L3:M3"/>
    <mergeCell ref="N3:N10"/>
    <mergeCell ref="P3:R3"/>
    <mergeCell ref="S3:V3"/>
    <mergeCell ref="N11:N18"/>
    <mergeCell ref="N19:N26"/>
    <mergeCell ref="N27:N34"/>
    <mergeCell ref="N35:N43"/>
    <mergeCell ref="N51:N58"/>
    <mergeCell ref="N59:N66"/>
    <mergeCell ref="N67:N74"/>
    <mergeCell ref="A8:A10"/>
    <mergeCell ref="D10:E10"/>
    <mergeCell ref="F10:G10"/>
    <mergeCell ref="H10:I10"/>
    <mergeCell ref="J10:K10"/>
    <mergeCell ref="L10:M10"/>
    <mergeCell ref="L11:M11"/>
    <mergeCell ref="A27:A31"/>
    <mergeCell ref="D27:E27"/>
    <mergeCell ref="F27:G27"/>
    <mergeCell ref="H27:I27"/>
    <mergeCell ref="J27:K27"/>
    <mergeCell ref="L27:M27"/>
    <mergeCell ref="A24:A26"/>
    <mergeCell ref="D26:E26"/>
    <mergeCell ref="F26:G26"/>
    <mergeCell ref="H26:I26"/>
    <mergeCell ref="A139:O139"/>
    <mergeCell ref="A140:O140"/>
    <mergeCell ref="C44:D44"/>
    <mergeCell ref="C91:D91"/>
    <mergeCell ref="C138:D138"/>
    <mergeCell ref="C185:D185"/>
    <mergeCell ref="A47:M47"/>
    <mergeCell ref="A49:M49"/>
    <mergeCell ref="A45:O45"/>
    <mergeCell ref="A46:O46"/>
    <mergeCell ref="A56:A58"/>
    <mergeCell ref="D58:E58"/>
    <mergeCell ref="F58:G58"/>
    <mergeCell ref="H58:I58"/>
    <mergeCell ref="J58:K58"/>
    <mergeCell ref="L58:M58"/>
    <mergeCell ref="A80:A82"/>
    <mergeCell ref="D82:E82"/>
    <mergeCell ref="F82:G82"/>
    <mergeCell ref="H82:I82"/>
    <mergeCell ref="J82:K82"/>
    <mergeCell ref="L82:M82"/>
    <mergeCell ref="B82:C82"/>
    <mergeCell ref="N83:N90"/>
  </mergeCells>
  <phoneticPr fontId="3" type="noConversion"/>
  <printOptions horizontalCentered="1"/>
  <pageMargins left="0.23622047244094491" right="0.23622047244094491" top="0.39370078740157483" bottom="0.39370078740157483" header="0.31496062992125984" footer="0.31496062992125984"/>
  <pageSetup paperSize="9" scale="97" fitToHeight="0" orientation="portrait" r:id="rId1"/>
  <headerFooter alignWithMargins="0"/>
  <rowBreaks count="4" manualBreakCount="4">
    <brk id="48" max="16383" man="1"/>
    <brk id="95" max="16383" man="1"/>
    <brk id="142" max="14" man="1"/>
    <brk id="189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興大附農</vt:lpstr>
      <vt:lpstr>11月明細(午餐)</vt:lpstr>
      <vt:lpstr>'11月明細(午餐)'!Print_Area</vt:lpstr>
      <vt:lpstr>興大附農!Print_Area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2020-10-20T00:06:11Z</cp:lastPrinted>
  <dcterms:created xsi:type="dcterms:W3CDTF">2020-10-08T09:02:25Z</dcterms:created>
  <dcterms:modified xsi:type="dcterms:W3CDTF">2020-10-26T23:43:19Z</dcterms:modified>
</cp:coreProperties>
</file>